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4520" windowHeight="13140" activeTab="9"/>
  </bookViews>
  <sheets>
    <sheet name="Lähteandmed" sheetId="1" r:id="rId1"/>
    <sheet name="Visangud" sheetId="11" r:id="rId2"/>
    <sheet name="Juhtme rež 110" sheetId="19" r:id="rId3"/>
    <sheet name="Juhtme rež 330" sheetId="7" r:id="rId4"/>
    <sheet name="Trossi rež" sheetId="12" r:id="rId5"/>
    <sheet name="Trossi rež (2)" sheetId="17" r:id="rId6"/>
    <sheet name="Juhtme mont 110" sheetId="20" r:id="rId7"/>
    <sheet name="Juhtme mont 330" sheetId="27" r:id="rId8"/>
    <sheet name="Trossi mont" sheetId="24" r:id="rId9"/>
    <sheet name="Trossi mont (2)" sheetId="26" r:id="rId10"/>
  </sheets>
  <externalReferences>
    <externalReference r:id="rId11"/>
    <externalReference r:id="rId12"/>
  </externalReferences>
  <definedNames>
    <definedName name="hj">Lähteandmed!$C$18</definedName>
    <definedName name="hJ_1">Lähteandmed!$D$18</definedName>
    <definedName name="ht">Lähteandmed!$E$18</definedName>
    <definedName name="ht_2">Lähteandmed!$F$18</definedName>
    <definedName name="JaideJ">Lähteandmed!$C$17</definedName>
    <definedName name="JaideJ_1">Lähteandmed!$D$17</definedName>
    <definedName name="JaideT">Lähteandmed!$E$17</definedName>
    <definedName name="JaideT2">Lähteandmed!$F$17</definedName>
    <definedName name="jaitetegur">Lähteandmed!$E$24:$E$82</definedName>
    <definedName name="JuheM" localSheetId="2">'Juhtme rež 110'!$5:$5</definedName>
    <definedName name="JuheM">'Juhtme rež 330'!$5:$5</definedName>
    <definedName name="Juhtmed">Lähteandmed!$A$2:$J$10</definedName>
    <definedName name="kaalutegur">Lähteandmed!$D$24:$D$82</definedName>
    <definedName name="Köide">Visangud!$B$1</definedName>
    <definedName name="_xlnm.Print_Area" localSheetId="6">'Juhtme mont 110'!$A$1:$O$148</definedName>
    <definedName name="_xlnm.Print_Area" localSheetId="7">'Juhtme mont 330'!$A$1:$O$142</definedName>
    <definedName name="_xlnm.Print_Area" localSheetId="2">'Juhtme rež 110'!$A$1:$T$65</definedName>
    <definedName name="_xlnm.Print_Area" localSheetId="3">'Juhtme rež 330'!$A$1:$R$65</definedName>
    <definedName name="_xlnm.Print_Area" localSheetId="8">'Trossi mont'!$A$1:$O$130</definedName>
    <definedName name="_xlnm.Print_Area" localSheetId="9">'Trossi mont (2)'!$A$1:$O$127</definedName>
    <definedName name="_xlnm.Print_Area" localSheetId="4">'Trossi rež'!$A$1:$R$76</definedName>
    <definedName name="_xlnm.Print_Titles" localSheetId="6">'Juhtme mont 110'!$1:$4</definedName>
    <definedName name="_xlnm.Print_Titles" localSheetId="7">'Juhtme mont 330'!$1:$4</definedName>
    <definedName name="_xlnm.Print_Titles" localSheetId="2">'Juhtme rež 110'!$A:$B,'Juhtme rež 110'!$1:$3</definedName>
    <definedName name="_xlnm.Print_Titles" localSheetId="3">'Juhtme rež 330'!$A:$B,'Juhtme rež 330'!$1:$3</definedName>
    <definedName name="_xlnm.Print_Titles" localSheetId="8">'Trossi mont'!$1:$4</definedName>
    <definedName name="_xlnm.Print_Titles" localSheetId="9">'Trossi mont (2)'!$1:$4</definedName>
    <definedName name="_xlnm.Print_Titles" localSheetId="4">'Trossi rež'!$1:$3</definedName>
    <definedName name="Qj">Lähteandmed!$C$20</definedName>
    <definedName name="QJ_1">Lähteandmed!$D$20</definedName>
    <definedName name="Qt">Lähteandmed!$E$20</definedName>
    <definedName name="Qt_2">Lähteandmed!$F$20</definedName>
    <definedName name="R_1">Lähteandmed!$24:$24</definedName>
    <definedName name="R_10">Lähteandmed!$51:$51</definedName>
    <definedName name="R_11">Lähteandmed!$54:$54</definedName>
    <definedName name="R_12">Lähteandmed!$57:$57</definedName>
    <definedName name="R_13">Lähteandmed!$60:$60</definedName>
    <definedName name="R_14">Lähteandmed!$63:$63</definedName>
    <definedName name="R_15">Lähteandmed!$66:$66</definedName>
    <definedName name="R_16">Lähteandmed!$69:$69</definedName>
    <definedName name="R_17">Lähteandmed!$72:$72</definedName>
    <definedName name="R_18">Lähteandmed!$75:$75</definedName>
    <definedName name="R_19">Lähteandmed!$78:$78</definedName>
    <definedName name="R_2">Lähteandmed!$27:$27</definedName>
    <definedName name="R_20">Lähteandmed!$81:$81</definedName>
    <definedName name="R_3">Lähteandmed!$30:$30</definedName>
    <definedName name="R_4">Lähteandmed!$33:$33</definedName>
    <definedName name="R_5">Lähteandmed!$36:$36</definedName>
    <definedName name="R_6">Lähteandmed!$39:$39</definedName>
    <definedName name="R_7">Lähteandmed!$42:$42</definedName>
    <definedName name="R_8">Lähteandmed!$45:$45</definedName>
    <definedName name="R_9">Lähteandmed!$48:$48</definedName>
    <definedName name="S0" localSheetId="6">#REF!</definedName>
    <definedName name="S0" localSheetId="7">#REF!</definedName>
    <definedName name="S0" localSheetId="2">'Juhtme rež 110'!$17:$17</definedName>
    <definedName name="S0" localSheetId="3">'Juhtme rež 330'!$17:$17</definedName>
    <definedName name="S0" localSheetId="8">#REF!</definedName>
    <definedName name="S0" localSheetId="9">#REF!</definedName>
    <definedName name="S0" localSheetId="4">'Trossi rež'!$21:$21</definedName>
    <definedName name="S0" localSheetId="5">'Trossi rež (2)'!$21:$21</definedName>
    <definedName name="S0">#REF!</definedName>
    <definedName name="S0T" localSheetId="6">#REF!</definedName>
    <definedName name="S0T" localSheetId="7">#REF!</definedName>
    <definedName name="S0T" localSheetId="2">#REF!</definedName>
    <definedName name="S0T" localSheetId="8">#REF!</definedName>
    <definedName name="S0T" localSheetId="9">#REF!</definedName>
    <definedName name="S0T">#REF!</definedName>
    <definedName name="zo">Lähteandmed!$C$15</definedName>
    <definedName name="ZoT2">Lähteandmed!$F$15</definedName>
    <definedName name="T0" localSheetId="2">'Juhtme rež 110'!$16:$16</definedName>
    <definedName name="T0" localSheetId="4">'Trossi rež'!$20:$20</definedName>
    <definedName name="T0" localSheetId="5">'Trossi rež (2)'!$20:$20</definedName>
    <definedName name="T0">'Juhtme rež 330'!$16:$16</definedName>
    <definedName name="T0T" localSheetId="6">Lähteandmed!#REF!</definedName>
    <definedName name="T0T" localSheetId="7">Lähteandmed!#REF!</definedName>
    <definedName name="T0T" localSheetId="2">Lähteandmed!#REF!</definedName>
    <definedName name="T0T" localSheetId="8">Lähteandmed!#REF!</definedName>
    <definedName name="T0T" localSheetId="9">Lähteandmed!#REF!</definedName>
    <definedName name="T0T" localSheetId="5">Lähteandmed!#REF!</definedName>
    <definedName name="T0T">Lähteandmed!#REF!</definedName>
    <definedName name="tuuletegur">Lähteandmed!$F$24:$F$82</definedName>
    <definedName name="V_1">Lähteandmed!$C$22:$C$45</definedName>
    <definedName name="V_2">Lähteandmed!$D$22:$D$45</definedName>
    <definedName name="V_3">Lähteandmed!$E$22:$E$45</definedName>
    <definedName name="v_4">Lähteandmed!$F$22:$F$45</definedName>
  </definedNames>
  <calcPr calcId="145621"/>
</workbook>
</file>

<file path=xl/calcChain.xml><?xml version="1.0" encoding="utf-8"?>
<calcChain xmlns="http://schemas.openxmlformats.org/spreadsheetml/2006/main">
  <c r="D1" i="27" l="1"/>
  <c r="D139" i="27"/>
  <c r="D126" i="27"/>
  <c r="D119" i="27"/>
  <c r="D111" i="27"/>
  <c r="D103" i="27"/>
  <c r="D94" i="27"/>
  <c r="D82" i="27"/>
  <c r="D73" i="27"/>
  <c r="D63" i="27"/>
  <c r="D56" i="27"/>
  <c r="D46" i="27"/>
  <c r="D38" i="27"/>
  <c r="D32" i="27"/>
  <c r="D19" i="27"/>
  <c r="D8" i="27"/>
  <c r="D8" i="20"/>
  <c r="B117" i="26"/>
  <c r="B119" i="26"/>
  <c r="B121" i="26"/>
  <c r="C117" i="26"/>
  <c r="C119" i="26"/>
  <c r="C121" i="26"/>
  <c r="B120" i="26"/>
  <c r="C120" i="26"/>
  <c r="C122" i="26"/>
  <c r="B118" i="26"/>
  <c r="B122" i="26"/>
  <c r="C118" i="26"/>
  <c r="B116" i="26"/>
  <c r="C116" i="26"/>
  <c r="B97" i="26"/>
  <c r="C97" i="26"/>
  <c r="B81" i="26"/>
  <c r="B83" i="26"/>
  <c r="C81" i="26"/>
  <c r="C83" i="26"/>
  <c r="B82" i="26"/>
  <c r="C82" i="26"/>
  <c r="B79" i="26"/>
  <c r="C79" i="26"/>
  <c r="B80" i="26"/>
  <c r="C80" i="26"/>
  <c r="C103" i="26"/>
  <c r="C61" i="26"/>
  <c r="C48" i="26"/>
  <c r="C24" i="26"/>
  <c r="B102" i="26"/>
  <c r="B68" i="26"/>
  <c r="B37" i="26"/>
  <c r="C32" i="26"/>
  <c r="C21" i="26"/>
  <c r="B127" i="26"/>
  <c r="B59" i="26"/>
  <c r="B90" i="26"/>
  <c r="B46" i="26"/>
  <c r="B38" i="26"/>
  <c r="B26" i="26"/>
  <c r="C88" i="26"/>
  <c r="C20" i="26"/>
  <c r="C78" i="26"/>
  <c r="C63" i="26"/>
  <c r="C46" i="26"/>
  <c r="B115" i="26"/>
  <c r="B20" i="26"/>
  <c r="B91" i="26"/>
  <c r="B47" i="26"/>
  <c r="C109" i="26"/>
  <c r="B110" i="26"/>
  <c r="B104" i="26"/>
  <c r="B89" i="26"/>
  <c r="B69" i="26"/>
  <c r="B71" i="26"/>
  <c r="B62" i="26"/>
  <c r="B45" i="26"/>
  <c r="B21" i="26"/>
  <c r="B25" i="26"/>
  <c r="C127" i="26"/>
  <c r="C96" i="26"/>
  <c r="C59" i="26"/>
  <c r="C71" i="26"/>
  <c r="C62" i="26"/>
  <c r="C45" i="26"/>
  <c r="C25" i="26"/>
  <c r="B96" i="26"/>
  <c r="B32" i="26"/>
  <c r="B78" i="26"/>
  <c r="B63" i="26"/>
  <c r="B22" i="26"/>
  <c r="C115" i="26"/>
  <c r="C53" i="26"/>
  <c r="C90" i="26"/>
  <c r="C22" i="26"/>
  <c r="B88" i="26"/>
  <c r="B60" i="26"/>
  <c r="B54" i="26"/>
  <c r="B27" i="26"/>
  <c r="C44" i="26"/>
  <c r="C110" i="26"/>
  <c r="C104" i="26"/>
  <c r="C89" i="26"/>
  <c r="C69" i="26"/>
  <c r="C91" i="26"/>
  <c r="C70" i="26"/>
  <c r="C60" i="26"/>
  <c r="C54" i="26"/>
  <c r="C47" i="26"/>
  <c r="C39" i="26"/>
  <c r="C23" i="26"/>
  <c r="C27" i="26"/>
  <c r="B109" i="26"/>
  <c r="B77" i="26"/>
  <c r="B44" i="26"/>
  <c r="B103" i="26"/>
  <c r="B61" i="26"/>
  <c r="B48" i="26"/>
  <c r="B24" i="26"/>
  <c r="C102" i="26"/>
  <c r="C68" i="26"/>
  <c r="C37" i="26"/>
  <c r="C38" i="26"/>
  <c r="C26" i="26"/>
  <c r="B53" i="26"/>
  <c r="B70" i="26"/>
  <c r="B39" i="26"/>
  <c r="B23" i="26"/>
  <c r="C77" i="26"/>
  <c r="C11" i="26"/>
  <c r="C15" i="26"/>
  <c r="B13" i="26"/>
  <c r="B15" i="26"/>
  <c r="B12" i="26"/>
  <c r="C12" i="26"/>
  <c r="C14" i="26"/>
  <c r="C13" i="26"/>
  <c r="B14" i="26"/>
  <c r="B11" i="26"/>
  <c r="C10" i="26"/>
  <c r="B10" i="26"/>
  <c r="B121" i="24"/>
  <c r="B123" i="24"/>
  <c r="C121" i="24"/>
  <c r="C123" i="24"/>
  <c r="B122" i="24"/>
  <c r="B124" i="24"/>
  <c r="C122" i="24"/>
  <c r="C124" i="24"/>
  <c r="B119" i="24"/>
  <c r="C119" i="24"/>
  <c r="B120" i="24"/>
  <c r="C120" i="24"/>
  <c r="B90" i="24"/>
  <c r="C90" i="24"/>
  <c r="B91" i="24"/>
  <c r="C91" i="24"/>
  <c r="B81" i="24"/>
  <c r="C81" i="24"/>
  <c r="B82" i="24"/>
  <c r="C82" i="24"/>
  <c r="B79" i="24"/>
  <c r="B83" i="24"/>
  <c r="C79" i="24"/>
  <c r="C83" i="24"/>
  <c r="B80" i="24"/>
  <c r="C80" i="24"/>
  <c r="U127" i="24"/>
  <c r="U114" i="24"/>
  <c r="U108" i="24"/>
  <c r="U94" i="24"/>
  <c r="U86" i="24"/>
  <c r="U75" i="24"/>
  <c r="U67" i="24"/>
  <c r="U58" i="24"/>
  <c r="U52" i="24"/>
  <c r="U43" i="24"/>
  <c r="U35" i="24"/>
  <c r="U30" i="24"/>
  <c r="B112" i="24"/>
  <c r="B106" i="24"/>
  <c r="B99" i="24"/>
  <c r="B72" i="24"/>
  <c r="B64" i="24"/>
  <c r="B50" i="24"/>
  <c r="B41" i="24"/>
  <c r="C130" i="24"/>
  <c r="C97" i="24"/>
  <c r="C61" i="24"/>
  <c r="C33" i="24"/>
  <c r="B25" i="24"/>
  <c r="B84" i="24"/>
  <c r="B23" i="24"/>
  <c r="X108" i="24"/>
  <c r="X75" i="24"/>
  <c r="X43" i="24"/>
  <c r="B111" i="24"/>
  <c r="C27" i="24"/>
  <c r="W114" i="24"/>
  <c r="W86" i="24"/>
  <c r="W52" i="24"/>
  <c r="B105" i="24"/>
  <c r="B98" i="24"/>
  <c r="B56" i="24"/>
  <c r="C104" i="24"/>
  <c r="B24" i="24"/>
  <c r="V67" i="24"/>
  <c r="V35" i="24"/>
  <c r="C49" i="24"/>
  <c r="B70" i="24"/>
  <c r="T127" i="24"/>
  <c r="T114" i="24"/>
  <c r="T108" i="24"/>
  <c r="T101" i="24"/>
  <c r="T94" i="24"/>
  <c r="T86" i="24"/>
  <c r="T75" i="24"/>
  <c r="T67" i="24"/>
  <c r="T58" i="24"/>
  <c r="T52" i="24"/>
  <c r="T43" i="24"/>
  <c r="T35" i="24"/>
  <c r="T30" i="24"/>
  <c r="C112" i="24"/>
  <c r="C106" i="24"/>
  <c r="C99" i="24"/>
  <c r="C72" i="24"/>
  <c r="C64" i="24"/>
  <c r="C50" i="24"/>
  <c r="C41" i="24"/>
  <c r="B130" i="24"/>
  <c r="B97" i="24"/>
  <c r="B61" i="24"/>
  <c r="B33" i="24"/>
  <c r="C25" i="24"/>
  <c r="C78" i="24"/>
  <c r="X94" i="24"/>
  <c r="X58" i="24"/>
  <c r="X30" i="24"/>
  <c r="C62" i="24"/>
  <c r="B46" i="24"/>
  <c r="W58" i="24"/>
  <c r="W30" i="24"/>
  <c r="B71" i="24"/>
  <c r="C39" i="24"/>
  <c r="V114" i="24"/>
  <c r="V75" i="24"/>
  <c r="V43" i="24"/>
  <c r="C71" i="24"/>
  <c r="B39" i="24"/>
  <c r="S127" i="24"/>
  <c r="S114" i="24"/>
  <c r="S108" i="24"/>
  <c r="S101" i="24"/>
  <c r="S94" i="24"/>
  <c r="S86" i="24"/>
  <c r="S75" i="24"/>
  <c r="S67" i="24"/>
  <c r="S58" i="24"/>
  <c r="S52" i="24"/>
  <c r="S43" i="24"/>
  <c r="S35" i="24"/>
  <c r="S30" i="24"/>
  <c r="B118" i="24"/>
  <c r="B92" i="24"/>
  <c r="B73" i="24"/>
  <c r="B65" i="24"/>
  <c r="B47" i="24"/>
  <c r="C117" i="24"/>
  <c r="C89" i="24"/>
  <c r="C55" i="24"/>
  <c r="B22" i="24"/>
  <c r="B26" i="24"/>
  <c r="C21" i="24"/>
  <c r="Y127" i="24"/>
  <c r="Y108" i="24"/>
  <c r="Y94" i="24"/>
  <c r="Y75" i="24"/>
  <c r="Y58" i="24"/>
  <c r="Y43" i="24"/>
  <c r="Y30" i="24"/>
  <c r="B62" i="24"/>
  <c r="B40" i="24"/>
  <c r="C46" i="24"/>
  <c r="X114" i="24"/>
  <c r="X67" i="24"/>
  <c r="X35" i="24"/>
  <c r="C84" i="24"/>
  <c r="C40" i="24"/>
  <c r="C23" i="24"/>
  <c r="W127" i="24"/>
  <c r="W94" i="24"/>
  <c r="W67" i="24"/>
  <c r="W35" i="24"/>
  <c r="B63" i="24"/>
  <c r="B28" i="24"/>
  <c r="V127" i="24"/>
  <c r="V94" i="24"/>
  <c r="V58" i="24"/>
  <c r="V30" i="24"/>
  <c r="C105" i="24"/>
  <c r="C56" i="24"/>
  <c r="B104" i="24"/>
  <c r="C28" i="24"/>
  <c r="R127" i="24"/>
  <c r="R114" i="24"/>
  <c r="R108" i="24"/>
  <c r="R101" i="24"/>
  <c r="R94" i="24"/>
  <c r="R86" i="24"/>
  <c r="R75" i="24"/>
  <c r="R67" i="24"/>
  <c r="R58" i="24"/>
  <c r="R52" i="24"/>
  <c r="R43" i="24"/>
  <c r="R35" i="24"/>
  <c r="R30" i="24"/>
  <c r="C118" i="24"/>
  <c r="C92" i="24"/>
  <c r="C73" i="24"/>
  <c r="C65" i="24"/>
  <c r="C47" i="24"/>
  <c r="B117" i="24"/>
  <c r="B89" i="24"/>
  <c r="B55" i="24"/>
  <c r="C22" i="24"/>
  <c r="C26" i="24"/>
  <c r="B21" i="24"/>
  <c r="Y114" i="24"/>
  <c r="Y86" i="24"/>
  <c r="Y67" i="24"/>
  <c r="Y52" i="24"/>
  <c r="Y35" i="24"/>
  <c r="B48" i="24"/>
  <c r="C111" i="24"/>
  <c r="B27" i="24"/>
  <c r="X127" i="24"/>
  <c r="X86" i="24"/>
  <c r="X52" i="24"/>
  <c r="C48" i="24"/>
  <c r="B78" i="24"/>
  <c r="W108" i="24"/>
  <c r="W75" i="24"/>
  <c r="W43" i="24"/>
  <c r="B49" i="24"/>
  <c r="C70" i="24"/>
  <c r="V108" i="24"/>
  <c r="V86" i="24"/>
  <c r="V52" i="24"/>
  <c r="C98" i="24"/>
  <c r="C63" i="24"/>
  <c r="C24" i="24"/>
  <c r="B12" i="24"/>
  <c r="B16" i="24"/>
  <c r="C12" i="24"/>
  <c r="C16" i="24"/>
  <c r="B13" i="24"/>
  <c r="C13" i="24"/>
  <c r="B14" i="24"/>
  <c r="C14" i="24"/>
  <c r="B15" i="24"/>
  <c r="C15" i="24"/>
  <c r="C11" i="24"/>
  <c r="B11" i="24"/>
  <c r="Y18" i="24"/>
  <c r="X18" i="24"/>
  <c r="W18" i="24"/>
  <c r="V18" i="24"/>
  <c r="U18" i="24"/>
  <c r="T18" i="24"/>
  <c r="S18" i="24"/>
  <c r="R18" i="24"/>
  <c r="Y8" i="24"/>
  <c r="X8" i="24"/>
  <c r="W8" i="24"/>
  <c r="V8" i="24"/>
  <c r="U8" i="24"/>
  <c r="T8" i="24"/>
  <c r="S8" i="24"/>
  <c r="R8" i="24"/>
  <c r="X17" i="24"/>
  <c r="X7" i="24"/>
  <c r="V7" i="24"/>
  <c r="U17" i="24"/>
  <c r="S7" i="24"/>
  <c r="Y17" i="24"/>
  <c r="W17" i="24"/>
  <c r="W7" i="24"/>
  <c r="V17" i="24"/>
  <c r="U7" i="24"/>
  <c r="R17" i="24"/>
  <c r="Y7" i="24"/>
  <c r="T17" i="24"/>
  <c r="T7" i="24"/>
  <c r="S17" i="24"/>
  <c r="R7" i="24"/>
  <c r="T125" i="27"/>
  <c r="C122" i="27"/>
  <c r="R118" i="27"/>
  <c r="T110" i="27"/>
  <c r="C107" i="27"/>
  <c r="U138" i="27"/>
  <c r="S125" i="27"/>
  <c r="B122" i="27"/>
  <c r="S110" i="27"/>
  <c r="B107" i="27"/>
  <c r="U102" i="27"/>
  <c r="T138" i="27"/>
  <c r="C135" i="27"/>
  <c r="C133" i="27"/>
  <c r="C131" i="27"/>
  <c r="C129" i="27"/>
  <c r="R125" i="27"/>
  <c r="C116" i="27"/>
  <c r="C114" i="27"/>
  <c r="R110" i="27"/>
  <c r="T102" i="27"/>
  <c r="C99" i="27"/>
  <c r="C97" i="27"/>
  <c r="R93" i="27"/>
  <c r="T81" i="27"/>
  <c r="C78" i="27"/>
  <c r="C76" i="27"/>
  <c r="R72" i="27"/>
  <c r="C142" i="27"/>
  <c r="R138" i="27"/>
  <c r="C123" i="27"/>
  <c r="C108" i="27"/>
  <c r="C136" i="27"/>
  <c r="C132" i="27"/>
  <c r="B123" i="27"/>
  <c r="B114" i="27"/>
  <c r="S102" i="27"/>
  <c r="T93" i="27"/>
  <c r="B91" i="27"/>
  <c r="B88" i="27"/>
  <c r="S81" i="27"/>
  <c r="B79" i="27"/>
  <c r="U72" i="27"/>
  <c r="S62" i="27"/>
  <c r="B59" i="27"/>
  <c r="B136" i="27"/>
  <c r="B132" i="27"/>
  <c r="U118" i="27"/>
  <c r="B142" i="27"/>
  <c r="B133" i="27"/>
  <c r="B129" i="27"/>
  <c r="T118" i="27"/>
  <c r="C115" i="27"/>
  <c r="B134" i="27"/>
  <c r="B130" i="27"/>
  <c r="U125" i="27"/>
  <c r="U110" i="27"/>
  <c r="C106" i="27"/>
  <c r="B90" i="27"/>
  <c r="C89" i="27"/>
  <c r="C77" i="27"/>
  <c r="S72" i="27"/>
  <c r="C68" i="27"/>
  <c r="R62" i="27"/>
  <c r="S37" i="27"/>
  <c r="U31" i="27"/>
  <c r="S18" i="27"/>
  <c r="B15" i="27"/>
  <c r="B13" i="27"/>
  <c r="B11" i="27"/>
  <c r="C28" i="27"/>
  <c r="B108" i="27"/>
  <c r="B106" i="27"/>
  <c r="B89" i="27"/>
  <c r="B77" i="27"/>
  <c r="B68" i="27"/>
  <c r="C59" i="27"/>
  <c r="U55" i="27"/>
  <c r="C53" i="27"/>
  <c r="C50" i="27"/>
  <c r="C43" i="27"/>
  <c r="C41" i="27"/>
  <c r="R37" i="27"/>
  <c r="T31" i="27"/>
  <c r="C130" i="27"/>
  <c r="B115" i="27"/>
  <c r="U93" i="27"/>
  <c r="C88" i="27"/>
  <c r="C87" i="27"/>
  <c r="U81" i="27"/>
  <c r="B76" i="27"/>
  <c r="T55" i="27"/>
  <c r="B53" i="27"/>
  <c r="B50" i="27"/>
  <c r="B43" i="27"/>
  <c r="B41" i="27"/>
  <c r="C100" i="27"/>
  <c r="B99" i="27"/>
  <c r="C98" i="27"/>
  <c r="B97" i="27"/>
  <c r="B86" i="27"/>
  <c r="C85" i="27"/>
  <c r="C66" i="27"/>
  <c r="B52" i="27"/>
  <c r="T45" i="27"/>
  <c r="C42" i="27"/>
  <c r="S138" i="27"/>
  <c r="C79" i="27"/>
  <c r="R45" i="27"/>
  <c r="B27" i="27"/>
  <c r="C14" i="27"/>
  <c r="U7" i="27"/>
  <c r="S31" i="27"/>
  <c r="B23" i="27"/>
  <c r="B85" i="27"/>
  <c r="B60" i="27"/>
  <c r="C51" i="27"/>
  <c r="S118" i="27"/>
  <c r="S93" i="27"/>
  <c r="B87" i="27"/>
  <c r="C69" i="27"/>
  <c r="B66" i="27"/>
  <c r="S55" i="27"/>
  <c r="C26" i="27"/>
  <c r="C23" i="27"/>
  <c r="C11" i="27"/>
  <c r="B26" i="27"/>
  <c r="B14" i="27"/>
  <c r="C70" i="27"/>
  <c r="U37" i="27"/>
  <c r="R102" i="27"/>
  <c r="R81" i="27"/>
  <c r="B69" i="27"/>
  <c r="U62" i="27"/>
  <c r="C60" i="27"/>
  <c r="R55" i="27"/>
  <c r="T7" i="27"/>
  <c r="C67" i="27"/>
  <c r="T62" i="27"/>
  <c r="B135" i="27"/>
  <c r="B78" i="27"/>
  <c r="C49" i="27"/>
  <c r="C35" i="27"/>
  <c r="C29" i="27"/>
  <c r="B25" i="27"/>
  <c r="T18" i="27"/>
  <c r="B16" i="27"/>
  <c r="B116" i="27"/>
  <c r="B100" i="27"/>
  <c r="B98" i="27"/>
  <c r="C86" i="27"/>
  <c r="S7" i="27"/>
  <c r="B29" i="27"/>
  <c r="C24" i="27"/>
  <c r="R7" i="27"/>
  <c r="C27" i="27"/>
  <c r="C22" i="27"/>
  <c r="B70" i="27"/>
  <c r="B35" i="27"/>
  <c r="C90" i="27"/>
  <c r="T72" i="27"/>
  <c r="B49" i="27"/>
  <c r="C52" i="27"/>
  <c r="T37" i="27"/>
  <c r="C12" i="27"/>
  <c r="B67" i="27"/>
  <c r="B12" i="27"/>
  <c r="B51" i="27"/>
  <c r="R31" i="27"/>
  <c r="B22" i="27"/>
  <c r="C16" i="27"/>
  <c r="S45" i="27"/>
  <c r="B24" i="27"/>
  <c r="C15" i="27"/>
  <c r="C25" i="27"/>
  <c r="U18" i="27"/>
  <c r="C13" i="27"/>
  <c r="B131" i="27"/>
  <c r="B42" i="27"/>
  <c r="U45" i="27"/>
  <c r="B28" i="27"/>
  <c r="R18" i="27"/>
  <c r="C134" i="27"/>
  <c r="C91" i="27"/>
  <c r="C148" i="20"/>
  <c r="B134" i="20"/>
  <c r="C134" i="20"/>
  <c r="C131" i="20"/>
  <c r="C133" i="20"/>
  <c r="B131" i="20"/>
  <c r="B132" i="20"/>
  <c r="B133" i="20"/>
  <c r="C132" i="20"/>
  <c r="B98" i="20"/>
  <c r="B100" i="20"/>
  <c r="C98" i="20"/>
  <c r="C100" i="20"/>
  <c r="B99" i="20"/>
  <c r="C99" i="20"/>
  <c r="C97" i="20"/>
  <c r="B97" i="20"/>
  <c r="B87" i="20"/>
  <c r="C87" i="20"/>
  <c r="B88" i="20"/>
  <c r="C88" i="20"/>
  <c r="B86" i="20"/>
  <c r="B90" i="20"/>
  <c r="C86" i="20"/>
  <c r="C90" i="20"/>
  <c r="B89" i="20"/>
  <c r="C89" i="20"/>
  <c r="B42" i="20"/>
  <c r="B43" i="20"/>
  <c r="C42" i="20"/>
  <c r="C43" i="20"/>
  <c r="C41" i="20"/>
  <c r="B41" i="20"/>
  <c r="C135" i="20"/>
  <c r="C116" i="20"/>
  <c r="C107" i="20"/>
  <c r="B85" i="20"/>
  <c r="B76" i="20"/>
  <c r="C70" i="20"/>
  <c r="B77" i="20"/>
  <c r="C129" i="20"/>
  <c r="C106" i="20"/>
  <c r="T125" i="20"/>
  <c r="T93" i="20"/>
  <c r="T55" i="20"/>
  <c r="B129" i="20"/>
  <c r="B66" i="20"/>
  <c r="U144" i="20"/>
  <c r="U138" i="20"/>
  <c r="U125" i="20"/>
  <c r="U118" i="20"/>
  <c r="U110" i="20"/>
  <c r="U102" i="20"/>
  <c r="U93" i="20"/>
  <c r="U81" i="20"/>
  <c r="U72" i="20"/>
  <c r="U62" i="20"/>
  <c r="U55" i="20"/>
  <c r="U45" i="20"/>
  <c r="U37" i="20"/>
  <c r="U31" i="20"/>
  <c r="C122" i="20"/>
  <c r="C66" i="20"/>
  <c r="T138" i="20"/>
  <c r="T102" i="20"/>
  <c r="T62" i="20"/>
  <c r="T31" i="20"/>
  <c r="C68" i="20"/>
  <c r="S144" i="20"/>
  <c r="S138" i="20"/>
  <c r="S125" i="20"/>
  <c r="S118" i="20"/>
  <c r="S110" i="20"/>
  <c r="S102" i="20"/>
  <c r="S93" i="20"/>
  <c r="S81" i="20"/>
  <c r="S72" i="20"/>
  <c r="S62" i="20"/>
  <c r="S55" i="20"/>
  <c r="S45" i="20"/>
  <c r="S37" i="20"/>
  <c r="S31" i="20"/>
  <c r="B148" i="20"/>
  <c r="B130" i="20"/>
  <c r="B123" i="20"/>
  <c r="B115" i="20"/>
  <c r="C114" i="20"/>
  <c r="B91" i="20"/>
  <c r="B79" i="20"/>
  <c r="B69" i="20"/>
  <c r="B135" i="20"/>
  <c r="B116" i="20"/>
  <c r="C76" i="20"/>
  <c r="B67" i="20"/>
  <c r="C136" i="20"/>
  <c r="C108" i="20"/>
  <c r="C67" i="20"/>
  <c r="C142" i="20"/>
  <c r="B68" i="20"/>
  <c r="T144" i="20"/>
  <c r="T118" i="20"/>
  <c r="T81" i="20"/>
  <c r="T45" i="20"/>
  <c r="B122" i="20"/>
  <c r="C78" i="20"/>
  <c r="R144" i="20"/>
  <c r="R138" i="20"/>
  <c r="R125" i="20"/>
  <c r="R118" i="20"/>
  <c r="R110" i="20"/>
  <c r="R102" i="20"/>
  <c r="R93" i="20"/>
  <c r="R81" i="20"/>
  <c r="R72" i="20"/>
  <c r="R62" i="20"/>
  <c r="R55" i="20"/>
  <c r="R45" i="20"/>
  <c r="R37" i="20"/>
  <c r="R31" i="20"/>
  <c r="C130" i="20"/>
  <c r="C123" i="20"/>
  <c r="C115" i="20"/>
  <c r="B114" i="20"/>
  <c r="C91" i="20"/>
  <c r="C79" i="20"/>
  <c r="C69" i="20"/>
  <c r="B107" i="20"/>
  <c r="C85" i="20"/>
  <c r="B70" i="20"/>
  <c r="B136" i="20"/>
  <c r="B108" i="20"/>
  <c r="C77" i="20"/>
  <c r="B78" i="20"/>
  <c r="T110" i="20"/>
  <c r="T72" i="20"/>
  <c r="T37" i="20"/>
  <c r="B142" i="20"/>
  <c r="B106" i="20"/>
  <c r="C60" i="20"/>
  <c r="B60" i="20"/>
  <c r="C59" i="20"/>
  <c r="B59" i="20"/>
  <c r="C50" i="20"/>
  <c r="B51" i="20"/>
  <c r="C51" i="20"/>
  <c r="B52" i="20"/>
  <c r="B53" i="20"/>
  <c r="B50" i="20"/>
  <c r="C52" i="20"/>
  <c r="C53" i="20"/>
  <c r="C49" i="20"/>
  <c r="B49" i="20"/>
  <c r="C35" i="20"/>
  <c r="B35" i="20"/>
  <c r="B28" i="20"/>
  <c r="C28" i="20"/>
  <c r="B29" i="20"/>
  <c r="C29" i="20"/>
  <c r="C27" i="20"/>
  <c r="C23" i="20"/>
  <c r="B27" i="20"/>
  <c r="B23" i="20"/>
  <c r="C26" i="20"/>
  <c r="C22" i="20"/>
  <c r="B26" i="20"/>
  <c r="B22" i="20"/>
  <c r="C25" i="20"/>
  <c r="B25" i="20"/>
  <c r="C24" i="20"/>
  <c r="B24" i="20"/>
  <c r="U18" i="20"/>
  <c r="T18" i="20"/>
  <c r="S18" i="20"/>
  <c r="R18" i="20"/>
  <c r="B12" i="20"/>
  <c r="B16" i="20"/>
  <c r="C12" i="20"/>
  <c r="C16" i="20"/>
  <c r="B13" i="20"/>
  <c r="C13" i="20"/>
  <c r="B14" i="20"/>
  <c r="C14" i="20"/>
  <c r="B15" i="20"/>
  <c r="C15" i="20"/>
  <c r="C11" i="20"/>
  <c r="B11" i="20"/>
  <c r="U7" i="20"/>
  <c r="T7" i="20"/>
  <c r="S7" i="20"/>
  <c r="R7" i="20"/>
  <c r="A5" i="24" l="1"/>
  <c r="B17" i="27"/>
  <c r="O44" i="27"/>
  <c r="O17" i="27"/>
  <c r="C44" i="27"/>
  <c r="B30" i="27"/>
  <c r="B6" i="27"/>
  <c r="C6" i="27"/>
  <c r="A5" i="27"/>
  <c r="B54" i="27"/>
  <c r="O61" i="27"/>
  <c r="B80" i="27"/>
  <c r="B101" i="27"/>
  <c r="O36" i="27"/>
  <c r="C54" i="27"/>
  <c r="C92" i="27"/>
  <c r="C117" i="27"/>
  <c r="C30" i="27"/>
  <c r="O6" i="27"/>
  <c r="B44" i="27"/>
  <c r="C137" i="27"/>
  <c r="O80" i="27"/>
  <c r="O92" i="27"/>
  <c r="B36" i="27"/>
  <c r="O54" i="27"/>
  <c r="C17" i="27"/>
  <c r="O30" i="27"/>
  <c r="C36" i="27"/>
  <c r="B61" i="27"/>
  <c r="C71" i="27"/>
  <c r="O109" i="27"/>
  <c r="O124" i="27"/>
  <c r="O117" i="27"/>
  <c r="C61" i="27"/>
  <c r="O71" i="27"/>
  <c r="C80" i="27"/>
  <c r="C101" i="27"/>
  <c r="B137" i="27"/>
  <c r="B71" i="27"/>
  <c r="B92" i="27"/>
  <c r="B109" i="27"/>
  <c r="B124" i="27"/>
  <c r="O101" i="27"/>
  <c r="C109" i="27"/>
  <c r="C124" i="27"/>
  <c r="O137" i="27"/>
  <c r="B117" i="27"/>
  <c r="A5" i="20"/>
  <c r="O6" i="20"/>
  <c r="B6" i="20"/>
  <c r="C6" i="20"/>
  <c r="S14" i="11"/>
  <c r="L14" i="11"/>
  <c r="T14" i="11"/>
  <c r="M14" i="11"/>
  <c r="N14" i="11"/>
  <c r="P14" i="11"/>
  <c r="O14" i="11"/>
  <c r="Q14" i="11"/>
  <c r="R14" i="11"/>
  <c r="D14" i="11"/>
  <c r="S9" i="11" l="1"/>
  <c r="T9" i="11"/>
  <c r="D74" i="26"/>
  <c r="D1" i="26"/>
  <c r="D3" i="17"/>
  <c r="E3" i="17"/>
  <c r="F3" i="17"/>
  <c r="G3" i="17"/>
  <c r="H3" i="17"/>
  <c r="I3" i="17"/>
  <c r="J3" i="17"/>
  <c r="K3" i="17"/>
  <c r="L3" i="17"/>
  <c r="M3" i="17"/>
  <c r="N3" i="17"/>
  <c r="O3" i="17"/>
  <c r="P3" i="17"/>
  <c r="Q3" i="17"/>
  <c r="R3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R124" i="26"/>
  <c r="R65" i="26"/>
  <c r="T17" i="26"/>
  <c r="F20" i="1"/>
  <c r="M14" i="17"/>
  <c r="T73" i="26"/>
  <c r="T99" i="26"/>
  <c r="T124" i="26"/>
  <c r="M11" i="17"/>
  <c r="T29" i="26"/>
  <c r="R11" i="17"/>
  <c r="R7" i="26"/>
  <c r="F118" i="7"/>
  <c r="D13" i="17"/>
  <c r="O13" i="17"/>
  <c r="O14" i="17"/>
  <c r="L14" i="17"/>
  <c r="F14" i="17"/>
  <c r="H11" i="17"/>
  <c r="P14" i="17"/>
  <c r="J13" i="17"/>
  <c r="P11" i="17"/>
  <c r="Q11" i="17"/>
  <c r="C20" i="1"/>
  <c r="T7" i="26"/>
  <c r="H13" i="17"/>
  <c r="I11" i="17"/>
  <c r="T85" i="26"/>
  <c r="D14" i="17"/>
  <c r="E13" i="17"/>
  <c r="R106" i="26"/>
  <c r="G13" i="17"/>
  <c r="E20" i="1"/>
  <c r="D11" i="17"/>
  <c r="E118" i="7"/>
  <c r="R73" i="26"/>
  <c r="N13" i="17"/>
  <c r="T50" i="26"/>
  <c r="M13" i="17"/>
  <c r="R34" i="26"/>
  <c r="D20" i="1"/>
  <c r="T65" i="26"/>
  <c r="T56" i="26"/>
  <c r="T106" i="26"/>
  <c r="R14" i="17"/>
  <c r="L11" i="17"/>
  <c r="I14" i="17"/>
  <c r="F11" i="17"/>
  <c r="Q13" i="17"/>
  <c r="H14" i="17"/>
  <c r="F13" i="17"/>
  <c r="T41" i="26"/>
  <c r="J11" i="17"/>
  <c r="G11" i="17"/>
  <c r="F122" i="7"/>
  <c r="N11" i="17"/>
  <c r="T34" i="26"/>
  <c r="R56" i="26"/>
  <c r="R85" i="26"/>
  <c r="R13" i="17"/>
  <c r="L13" i="17"/>
  <c r="I13" i="17"/>
  <c r="O11" i="17"/>
  <c r="R41" i="26"/>
  <c r="T112" i="26"/>
  <c r="R93" i="26"/>
  <c r="J14" i="17"/>
  <c r="R112" i="26"/>
  <c r="K11" i="17"/>
  <c r="T93" i="26"/>
  <c r="R99" i="26"/>
  <c r="E11" i="17"/>
  <c r="R29" i="26"/>
  <c r="K13" i="17"/>
  <c r="Q14" i="17"/>
  <c r="R17" i="26"/>
  <c r="P13" i="17"/>
  <c r="R50" i="26"/>
  <c r="E14" i="17"/>
  <c r="K14" i="17"/>
  <c r="G14" i="17"/>
  <c r="N14" i="17"/>
  <c r="R85" i="12"/>
  <c r="R86" i="12" s="1"/>
  <c r="F101" i="12"/>
  <c r="F102" i="12" s="1"/>
  <c r="N97" i="12"/>
  <c r="N98" i="12" s="1"/>
  <c r="O93" i="12"/>
  <c r="H85" i="12"/>
  <c r="H86" i="12" s="1"/>
  <c r="K81" i="12"/>
  <c r="K82" i="12" s="1"/>
  <c r="M73" i="12"/>
  <c r="M74" i="12" s="1"/>
  <c r="P61" i="12"/>
  <c r="P62" i="12" s="1"/>
  <c r="K105" i="12"/>
  <c r="K106" i="12" s="1"/>
  <c r="K97" i="12"/>
  <c r="K98" i="12" s="1"/>
  <c r="N93" i="12"/>
  <c r="N94" i="12" s="1"/>
  <c r="I81" i="12"/>
  <c r="I82" i="12" s="1"/>
  <c r="I73" i="12"/>
  <c r="I74" i="12" s="1"/>
  <c r="E61" i="12"/>
  <c r="E62" i="12" s="1"/>
  <c r="N105" i="12"/>
  <c r="N106" i="12" s="1"/>
  <c r="I105" i="12"/>
  <c r="I106" i="12" s="1"/>
  <c r="Q101" i="12"/>
  <c r="Q102" i="12" s="1"/>
  <c r="I97" i="12"/>
  <c r="I98" i="12" s="1"/>
  <c r="I93" i="12"/>
  <c r="I94" i="12" s="1"/>
  <c r="Q89" i="12"/>
  <c r="Q90" i="12" s="1"/>
  <c r="H81" i="12"/>
  <c r="H82" i="12" s="1"/>
  <c r="H73" i="12"/>
  <c r="H74" i="12" s="1"/>
  <c r="Q69" i="12"/>
  <c r="Q70" i="12" s="1"/>
  <c r="M57" i="12"/>
  <c r="M58" i="12" s="1"/>
  <c r="G105" i="12"/>
  <c r="G106" i="12" s="1"/>
  <c r="O101" i="12"/>
  <c r="G97" i="12"/>
  <c r="G98" i="12" s="1"/>
  <c r="G93" i="12"/>
  <c r="G94" i="12" s="1"/>
  <c r="P89" i="12"/>
  <c r="P90" i="12" s="1"/>
  <c r="P69" i="12"/>
  <c r="P70" i="12" s="1"/>
  <c r="I57" i="12"/>
  <c r="I58" i="12" s="1"/>
  <c r="K37" i="12"/>
  <c r="K38" i="12" s="1"/>
  <c r="N101" i="12"/>
  <c r="N102" i="12" s="1"/>
  <c r="J89" i="12"/>
  <c r="J90" i="12" s="1"/>
  <c r="H57" i="12"/>
  <c r="H58" i="12" s="1"/>
  <c r="K101" i="12"/>
  <c r="K102" i="12" s="1"/>
  <c r="H89" i="12"/>
  <c r="H90" i="12" s="1"/>
  <c r="P77" i="12"/>
  <c r="P78" i="12" s="1"/>
  <c r="Q105" i="12"/>
  <c r="Q106" i="12" s="1"/>
  <c r="I101" i="12"/>
  <c r="I102" i="12" s="1"/>
  <c r="Q97" i="12"/>
  <c r="Q98" i="12" s="1"/>
  <c r="G89" i="12"/>
  <c r="G90" i="12" s="1"/>
  <c r="K85" i="12"/>
  <c r="K86" i="12" s="1"/>
  <c r="O77" i="12"/>
  <c r="I65" i="12"/>
  <c r="I66" i="12" s="1"/>
  <c r="E53" i="12"/>
  <c r="E54" i="12" s="1"/>
  <c r="M49" i="12"/>
  <c r="M50" i="12" s="1"/>
  <c r="F105" i="12"/>
  <c r="F106" i="12" s="1"/>
  <c r="F97" i="12"/>
  <c r="F98" i="12" s="1"/>
  <c r="F93" i="12"/>
  <c r="F94" i="12" s="1"/>
  <c r="E69" i="12"/>
  <c r="E70" i="12" s="1"/>
  <c r="Q53" i="12"/>
  <c r="Q54" i="12" s="1"/>
  <c r="Q85" i="12"/>
  <c r="Q86" i="12" s="1"/>
  <c r="M65" i="12"/>
  <c r="M66" i="12" s="1"/>
  <c r="P53" i="12"/>
  <c r="P54" i="12" s="1"/>
  <c r="Q45" i="12"/>
  <c r="Q46" i="12" s="1"/>
  <c r="O105" i="12"/>
  <c r="G101" i="12"/>
  <c r="G102" i="12" s="1"/>
  <c r="O97" i="12"/>
  <c r="Q93" i="12"/>
  <c r="Q94" i="12" s="1"/>
  <c r="I85" i="12"/>
  <c r="I86" i="12" s="1"/>
  <c r="R81" i="12"/>
  <c r="R82" i="12" s="1"/>
  <c r="E77" i="12"/>
  <c r="E78" i="12" s="1"/>
  <c r="H65" i="12"/>
  <c r="H66" i="12" s="1"/>
  <c r="Q61" i="12"/>
  <c r="Q62" i="12" s="1"/>
  <c r="I49" i="12"/>
  <c r="I50" i="12" s="1"/>
  <c r="Q29" i="12"/>
  <c r="Q30" i="12" s="1"/>
  <c r="K93" i="12"/>
  <c r="K94" i="12" s="1"/>
  <c r="M89" i="12"/>
  <c r="M90" i="12" s="1"/>
  <c r="N85" i="12"/>
  <c r="N86" i="12" s="1"/>
  <c r="E85" i="12"/>
  <c r="E86" i="12" s="1"/>
  <c r="R105" i="12"/>
  <c r="R106" i="12" s="1"/>
  <c r="J105" i="12"/>
  <c r="J106" i="12" s="1"/>
  <c r="R101" i="12"/>
  <c r="R102" i="12" s="1"/>
  <c r="J101" i="12"/>
  <c r="J102" i="12" s="1"/>
  <c r="R97" i="12"/>
  <c r="R98" i="12" s="1"/>
  <c r="J97" i="12"/>
  <c r="J98" i="12" s="1"/>
  <c r="R93" i="12"/>
  <c r="R94" i="12" s="1"/>
  <c r="J93" i="12"/>
  <c r="J94" i="12" s="1"/>
  <c r="K89" i="12"/>
  <c r="K90" i="12" s="1"/>
  <c r="M85" i="12"/>
  <c r="M86" i="12" s="1"/>
  <c r="M81" i="12"/>
  <c r="M82" i="12" s="1"/>
  <c r="H77" i="12"/>
  <c r="H78" i="12" s="1"/>
  <c r="P73" i="12"/>
  <c r="P74" i="12" s="1"/>
  <c r="H69" i="12"/>
  <c r="H70" i="12" s="1"/>
  <c r="P65" i="12"/>
  <c r="P66" i="12" s="1"/>
  <c r="H61" i="12"/>
  <c r="H62" i="12" s="1"/>
  <c r="P57" i="12"/>
  <c r="P58" i="12" s="1"/>
  <c r="H53" i="12"/>
  <c r="H54" i="12" s="1"/>
  <c r="P49" i="12"/>
  <c r="P50" i="12" s="1"/>
  <c r="H45" i="12"/>
  <c r="H46" i="12" s="1"/>
  <c r="H41" i="12"/>
  <c r="H42" i="12" s="1"/>
  <c r="K33" i="12"/>
  <c r="K34" i="12" s="1"/>
  <c r="E45" i="12"/>
  <c r="E46" i="12" s="1"/>
  <c r="Q37" i="12"/>
  <c r="Q38" i="12" s="1"/>
  <c r="I33" i="12"/>
  <c r="I34" i="12" s="1"/>
  <c r="P105" i="12"/>
  <c r="P106" i="12" s="1"/>
  <c r="H105" i="12"/>
  <c r="H106" i="12" s="1"/>
  <c r="P101" i="12"/>
  <c r="P102" i="12" s="1"/>
  <c r="H101" i="12"/>
  <c r="H102" i="12" s="1"/>
  <c r="P97" i="12"/>
  <c r="P98" i="12" s="1"/>
  <c r="H97" i="12"/>
  <c r="H98" i="12" s="1"/>
  <c r="P93" i="12"/>
  <c r="P94" i="12" s="1"/>
  <c r="H93" i="12"/>
  <c r="H94" i="12" s="1"/>
  <c r="R89" i="12"/>
  <c r="R90" i="12" s="1"/>
  <c r="I89" i="12"/>
  <c r="I90" i="12" s="1"/>
  <c r="J85" i="12"/>
  <c r="J86" i="12" s="1"/>
  <c r="J81" i="12"/>
  <c r="J82" i="12" s="1"/>
  <c r="Q77" i="12"/>
  <c r="Q78" i="12" s="1"/>
  <c r="K73" i="12"/>
  <c r="K74" i="12" s="1"/>
  <c r="K65" i="12"/>
  <c r="K66" i="12" s="1"/>
  <c r="K57" i="12"/>
  <c r="K58" i="12" s="1"/>
  <c r="K49" i="12"/>
  <c r="K50" i="12" s="1"/>
  <c r="P37" i="12"/>
  <c r="P38" i="12" s="1"/>
  <c r="H33" i="12"/>
  <c r="H34" i="12" s="1"/>
  <c r="H49" i="12"/>
  <c r="H50" i="12" s="1"/>
  <c r="Q41" i="12"/>
  <c r="Q42" i="12" s="1"/>
  <c r="I37" i="12"/>
  <c r="I38" i="12" s="1"/>
  <c r="P29" i="12"/>
  <c r="P30" i="12" s="1"/>
  <c r="E105" i="12"/>
  <c r="E106" i="12" s="1"/>
  <c r="E101" i="12"/>
  <c r="E102" i="12" s="1"/>
  <c r="M97" i="12"/>
  <c r="M98" i="12" s="1"/>
  <c r="M93" i="12"/>
  <c r="M94" i="12" s="1"/>
  <c r="F89" i="12"/>
  <c r="F90" i="12" s="1"/>
  <c r="P85" i="12"/>
  <c r="P86" i="12" s="1"/>
  <c r="G85" i="12"/>
  <c r="G86" i="12" s="1"/>
  <c r="Q81" i="12"/>
  <c r="Q82" i="12" s="1"/>
  <c r="G81" i="12"/>
  <c r="G82" i="12" s="1"/>
  <c r="M77" i="12"/>
  <c r="M78" i="12" s="1"/>
  <c r="E73" i="12"/>
  <c r="E74" i="12" s="1"/>
  <c r="M69" i="12"/>
  <c r="M70" i="12" s="1"/>
  <c r="E65" i="12"/>
  <c r="E66" i="12" s="1"/>
  <c r="M61" i="12"/>
  <c r="M62" i="12" s="1"/>
  <c r="E57" i="12"/>
  <c r="E58" i="12" s="1"/>
  <c r="M53" i="12"/>
  <c r="M54" i="12" s="1"/>
  <c r="E49" i="12"/>
  <c r="E50" i="12" s="1"/>
  <c r="M45" i="12"/>
  <c r="M46" i="12" s="1"/>
  <c r="P41" i="12"/>
  <c r="P42" i="12" s="1"/>
  <c r="H37" i="12"/>
  <c r="H38" i="12" s="1"/>
  <c r="K29" i="12"/>
  <c r="K30" i="12" s="1"/>
  <c r="P45" i="12"/>
  <c r="P46" i="12" s="1"/>
  <c r="M105" i="12"/>
  <c r="M106" i="12" s="1"/>
  <c r="M101" i="12"/>
  <c r="M102" i="12" s="1"/>
  <c r="E97" i="12"/>
  <c r="E98" i="12" s="1"/>
  <c r="E93" i="12"/>
  <c r="E94" i="12" s="1"/>
  <c r="O89" i="12"/>
  <c r="L105" i="12"/>
  <c r="L106" i="12" s="1"/>
  <c r="L101" i="12"/>
  <c r="L102" i="12" s="1"/>
  <c r="L97" i="12"/>
  <c r="L98" i="12" s="1"/>
  <c r="L93" i="12"/>
  <c r="L94" i="12" s="1"/>
  <c r="N89" i="12"/>
  <c r="N90" i="12" s="1"/>
  <c r="E89" i="12"/>
  <c r="E90" i="12" s="1"/>
  <c r="O85" i="12"/>
  <c r="F85" i="12"/>
  <c r="F86" i="12" s="1"/>
  <c r="P81" i="12"/>
  <c r="P82" i="12" s="1"/>
  <c r="E81" i="12"/>
  <c r="E82" i="12" s="1"/>
  <c r="K77" i="12"/>
  <c r="K78" i="12" s="1"/>
  <c r="K69" i="12"/>
  <c r="K70" i="12" s="1"/>
  <c r="K61" i="12"/>
  <c r="K62" i="12" s="1"/>
  <c r="K53" i="12"/>
  <c r="K54" i="12" s="1"/>
  <c r="K45" i="12"/>
  <c r="K46" i="12" s="1"/>
  <c r="K41" i="12"/>
  <c r="K42" i="12" s="1"/>
  <c r="Q33" i="12"/>
  <c r="Q34" i="12" s="1"/>
  <c r="I29" i="12"/>
  <c r="I30" i="12" s="1"/>
  <c r="O81" i="12"/>
  <c r="I77" i="12"/>
  <c r="I78" i="12" s="1"/>
  <c r="Q73" i="12"/>
  <c r="Q74" i="12" s="1"/>
  <c r="I69" i="12"/>
  <c r="I70" i="12" s="1"/>
  <c r="Q65" i="12"/>
  <c r="Q66" i="12" s="1"/>
  <c r="I61" i="12"/>
  <c r="I62" i="12" s="1"/>
  <c r="Q57" i="12"/>
  <c r="Q58" i="12" s="1"/>
  <c r="I53" i="12"/>
  <c r="I54" i="12" s="1"/>
  <c r="Q49" i="12"/>
  <c r="Q50" i="12" s="1"/>
  <c r="I45" i="12"/>
  <c r="I46" i="12" s="1"/>
  <c r="I41" i="12"/>
  <c r="I42" i="12" s="1"/>
  <c r="P33" i="12"/>
  <c r="P34" i="12" s="1"/>
  <c r="H29" i="12"/>
  <c r="H30" i="12" s="1"/>
  <c r="L89" i="12"/>
  <c r="L90" i="12" s="1"/>
  <c r="L85" i="12"/>
  <c r="L86" i="12" s="1"/>
  <c r="L81" i="12"/>
  <c r="L82" i="12" s="1"/>
  <c r="L77" i="12"/>
  <c r="L78" i="12" s="1"/>
  <c r="L73" i="12"/>
  <c r="L74" i="12" s="1"/>
  <c r="L69" i="12"/>
  <c r="L70" i="12" s="1"/>
  <c r="L65" i="12"/>
  <c r="L66" i="12" s="1"/>
  <c r="L61" i="12"/>
  <c r="L62" i="12" s="1"/>
  <c r="L57" i="12"/>
  <c r="L58" i="12" s="1"/>
  <c r="L53" i="12"/>
  <c r="L54" i="12" s="1"/>
  <c r="L49" i="12"/>
  <c r="L50" i="12" s="1"/>
  <c r="L45" i="12"/>
  <c r="L46" i="12" s="1"/>
  <c r="L41" i="12"/>
  <c r="L42" i="12" s="1"/>
  <c r="L37" i="12"/>
  <c r="L38" i="12" s="1"/>
  <c r="L33" i="12"/>
  <c r="L34" i="12" s="1"/>
  <c r="L29" i="12"/>
  <c r="L30" i="12" s="1"/>
  <c r="R77" i="12"/>
  <c r="R78" i="12" s="1"/>
  <c r="J77" i="12"/>
  <c r="J78" i="12" s="1"/>
  <c r="R73" i="12"/>
  <c r="R74" i="12" s="1"/>
  <c r="J73" i="12"/>
  <c r="J74" i="12" s="1"/>
  <c r="R69" i="12"/>
  <c r="R70" i="12" s="1"/>
  <c r="J69" i="12"/>
  <c r="J70" i="12" s="1"/>
  <c r="R65" i="12"/>
  <c r="R66" i="12" s="1"/>
  <c r="J65" i="12"/>
  <c r="J66" i="12" s="1"/>
  <c r="R61" i="12"/>
  <c r="R62" i="12" s="1"/>
  <c r="J61" i="12"/>
  <c r="J62" i="12" s="1"/>
  <c r="R57" i="12"/>
  <c r="R58" i="12" s="1"/>
  <c r="J57" i="12"/>
  <c r="J58" i="12" s="1"/>
  <c r="R53" i="12"/>
  <c r="R54" i="12" s="1"/>
  <c r="J53" i="12"/>
  <c r="J54" i="12" s="1"/>
  <c r="R49" i="12"/>
  <c r="R50" i="12" s="1"/>
  <c r="J49" i="12"/>
  <c r="J50" i="12" s="1"/>
  <c r="R45" i="12"/>
  <c r="R46" i="12" s="1"/>
  <c r="J45" i="12"/>
  <c r="J46" i="12" s="1"/>
  <c r="R41" i="12"/>
  <c r="R42" i="12" s="1"/>
  <c r="J41" i="12"/>
  <c r="J42" i="12" s="1"/>
  <c r="R37" i="12"/>
  <c r="R38" i="12" s="1"/>
  <c r="J37" i="12"/>
  <c r="J38" i="12" s="1"/>
  <c r="R33" i="12"/>
  <c r="R34" i="12" s="1"/>
  <c r="J33" i="12"/>
  <c r="J34" i="12" s="1"/>
  <c r="R29" i="12"/>
  <c r="R30" i="12" s="1"/>
  <c r="J29" i="12"/>
  <c r="J30" i="12" s="1"/>
  <c r="G77" i="12"/>
  <c r="G78" i="12" s="1"/>
  <c r="O73" i="12"/>
  <c r="G73" i="12"/>
  <c r="G74" i="12" s="1"/>
  <c r="O69" i="12"/>
  <c r="G69" i="12"/>
  <c r="G70" i="12" s="1"/>
  <c r="O65" i="12"/>
  <c r="G65" i="12"/>
  <c r="G66" i="12" s="1"/>
  <c r="O61" i="12"/>
  <c r="G61" i="12"/>
  <c r="G62" i="12" s="1"/>
  <c r="O57" i="12"/>
  <c r="G57" i="12"/>
  <c r="G58" i="12" s="1"/>
  <c r="O53" i="12"/>
  <c r="G53" i="12"/>
  <c r="G54" i="12" s="1"/>
  <c r="O49" i="12"/>
  <c r="G49" i="12"/>
  <c r="G50" i="12" s="1"/>
  <c r="O45" i="12"/>
  <c r="G45" i="12"/>
  <c r="G46" i="12" s="1"/>
  <c r="O41" i="12"/>
  <c r="G41" i="12"/>
  <c r="G42" i="12" s="1"/>
  <c r="O37" i="12"/>
  <c r="G37" i="12"/>
  <c r="G38" i="12" s="1"/>
  <c r="O33" i="12"/>
  <c r="G33" i="12"/>
  <c r="G34" i="12" s="1"/>
  <c r="O29" i="12"/>
  <c r="G29" i="12"/>
  <c r="G30" i="12" s="1"/>
  <c r="N81" i="12"/>
  <c r="N82" i="12" s="1"/>
  <c r="F81" i="12"/>
  <c r="F82" i="12" s="1"/>
  <c r="N77" i="12"/>
  <c r="N78" i="12" s="1"/>
  <c r="F77" i="12"/>
  <c r="F78" i="12" s="1"/>
  <c r="N73" i="12"/>
  <c r="N74" i="12" s="1"/>
  <c r="F73" i="12"/>
  <c r="F74" i="12" s="1"/>
  <c r="N69" i="12"/>
  <c r="N70" i="12" s="1"/>
  <c r="F69" i="12"/>
  <c r="F70" i="12" s="1"/>
  <c r="N65" i="12"/>
  <c r="N66" i="12" s="1"/>
  <c r="F65" i="12"/>
  <c r="F66" i="12" s="1"/>
  <c r="N61" i="12"/>
  <c r="N62" i="12" s="1"/>
  <c r="F61" i="12"/>
  <c r="F62" i="12" s="1"/>
  <c r="N57" i="12"/>
  <c r="N58" i="12" s="1"/>
  <c r="F57" i="12"/>
  <c r="F58" i="12" s="1"/>
  <c r="N53" i="12"/>
  <c r="N54" i="12" s="1"/>
  <c r="F53" i="12"/>
  <c r="F54" i="12" s="1"/>
  <c r="N49" i="12"/>
  <c r="N50" i="12" s="1"/>
  <c r="F49" i="12"/>
  <c r="F50" i="12" s="1"/>
  <c r="N45" i="12"/>
  <c r="N46" i="12" s="1"/>
  <c r="F45" i="12"/>
  <c r="F46" i="12" s="1"/>
  <c r="N41" i="12"/>
  <c r="N42" i="12" s="1"/>
  <c r="F41" i="12"/>
  <c r="F42" i="12" s="1"/>
  <c r="N37" i="12"/>
  <c r="N38" i="12" s="1"/>
  <c r="F37" i="12"/>
  <c r="F38" i="12" s="1"/>
  <c r="N33" i="12"/>
  <c r="N34" i="12" s="1"/>
  <c r="F33" i="12"/>
  <c r="F34" i="12" s="1"/>
  <c r="N29" i="12"/>
  <c r="N30" i="12" s="1"/>
  <c r="F29" i="12"/>
  <c r="F30" i="12" s="1"/>
  <c r="M41" i="12"/>
  <c r="M42" i="12" s="1"/>
  <c r="E41" i="12"/>
  <c r="E42" i="12" s="1"/>
  <c r="M37" i="12"/>
  <c r="M38" i="12" s="1"/>
  <c r="E37" i="12"/>
  <c r="E38" i="12" s="1"/>
  <c r="M33" i="12"/>
  <c r="M34" i="12" s="1"/>
  <c r="E33" i="12"/>
  <c r="E34" i="12" s="1"/>
  <c r="M29" i="12"/>
  <c r="M30" i="12" s="1"/>
  <c r="E29" i="12"/>
  <c r="E30" i="12" s="1"/>
  <c r="J102" i="19"/>
  <c r="J103" i="19" s="1"/>
  <c r="J98" i="19"/>
  <c r="J99" i="19" s="1"/>
  <c r="N94" i="19"/>
  <c r="N95" i="19" s="1"/>
  <c r="R90" i="19"/>
  <c r="R91" i="19" s="1"/>
  <c r="Q82" i="19"/>
  <c r="Q83" i="19" s="1"/>
  <c r="T78" i="19"/>
  <c r="T79" i="19" s="1"/>
  <c r="T62" i="19"/>
  <c r="T63" i="19" s="1"/>
  <c r="T46" i="19"/>
  <c r="T47" i="19" s="1"/>
  <c r="T30" i="19"/>
  <c r="T31" i="19" s="1"/>
  <c r="T102" i="19"/>
  <c r="T103" i="19" s="1"/>
  <c r="I102" i="19"/>
  <c r="I103" i="19" s="1"/>
  <c r="H98" i="19"/>
  <c r="H99" i="19" s="1"/>
  <c r="M94" i="19"/>
  <c r="M95" i="19" s="1"/>
  <c r="Q90" i="19"/>
  <c r="Q91" i="19" s="1"/>
  <c r="Q86" i="19"/>
  <c r="Q87" i="19" s="1"/>
  <c r="M82" i="19"/>
  <c r="M83" i="19" s="1"/>
  <c r="M102" i="19"/>
  <c r="M103" i="19" s="1"/>
  <c r="M98" i="19"/>
  <c r="M99" i="19" s="1"/>
  <c r="G98" i="19"/>
  <c r="G99" i="19" s="1"/>
  <c r="J94" i="19"/>
  <c r="J95" i="19" s="1"/>
  <c r="M86" i="19"/>
  <c r="M87" i="19" s="1"/>
  <c r="T66" i="19"/>
  <c r="T67" i="19" s="1"/>
  <c r="T50" i="19"/>
  <c r="T51" i="19" s="1"/>
  <c r="Q102" i="19"/>
  <c r="Q103" i="19" s="1"/>
  <c r="F98" i="19"/>
  <c r="F99" i="19" s="1"/>
  <c r="H90" i="19"/>
  <c r="H91" i="19" s="1"/>
  <c r="F102" i="19"/>
  <c r="F103" i="19" s="1"/>
  <c r="P98" i="19"/>
  <c r="P99" i="19" s="1"/>
  <c r="E98" i="19"/>
  <c r="E99" i="19" s="1"/>
  <c r="R94" i="19"/>
  <c r="R95" i="19" s="1"/>
  <c r="G94" i="19"/>
  <c r="G95" i="19" s="1"/>
  <c r="G90" i="19"/>
  <c r="G91" i="19" s="1"/>
  <c r="E86" i="19"/>
  <c r="E87" i="19" s="1"/>
  <c r="T70" i="19"/>
  <c r="T71" i="19" s="1"/>
  <c r="T54" i="19"/>
  <c r="T55" i="19" s="1"/>
  <c r="T38" i="19"/>
  <c r="T39" i="19" s="1"/>
  <c r="O94" i="19"/>
  <c r="O95" i="19" s="1"/>
  <c r="H102" i="19"/>
  <c r="H103" i="19" s="1"/>
  <c r="R98" i="19"/>
  <c r="R99" i="19" s="1"/>
  <c r="J82" i="19"/>
  <c r="J83" i="19" s="1"/>
  <c r="J86" i="19"/>
  <c r="J87" i="19" s="1"/>
  <c r="P102" i="19"/>
  <c r="P103" i="19" s="1"/>
  <c r="O102" i="19"/>
  <c r="O103" i="19" s="1"/>
  <c r="E102" i="19"/>
  <c r="E103" i="19" s="1"/>
  <c r="O98" i="19"/>
  <c r="O99" i="19" s="1"/>
  <c r="Q94" i="19"/>
  <c r="Q95" i="19" s="1"/>
  <c r="F94" i="19"/>
  <c r="F95" i="19" s="1"/>
  <c r="R102" i="19"/>
  <c r="R103" i="19" s="1"/>
  <c r="M90" i="19"/>
  <c r="M91" i="19" s="1"/>
  <c r="T34" i="19"/>
  <c r="T35" i="19" s="1"/>
  <c r="G102" i="19"/>
  <c r="G103" i="19" s="1"/>
  <c r="Q98" i="19"/>
  <c r="Q99" i="19" s="1"/>
  <c r="H94" i="19"/>
  <c r="H95" i="19" s="1"/>
  <c r="N102" i="19"/>
  <c r="N103" i="19" s="1"/>
  <c r="N98" i="19"/>
  <c r="N99" i="19" s="1"/>
  <c r="P94" i="19"/>
  <c r="P95" i="19" s="1"/>
  <c r="E94" i="19"/>
  <c r="E95" i="19" s="1"/>
  <c r="T74" i="19"/>
  <c r="T75" i="19" s="1"/>
  <c r="T58" i="19"/>
  <c r="T59" i="19" s="1"/>
  <c r="T42" i="19"/>
  <c r="T43" i="19" s="1"/>
  <c r="T26" i="19"/>
  <c r="T27" i="19" s="1"/>
  <c r="J90" i="19"/>
  <c r="J91" i="19" s="1"/>
  <c r="O86" i="19"/>
  <c r="O87" i="19" s="1"/>
  <c r="O82" i="19"/>
  <c r="O83" i="19" s="1"/>
  <c r="L102" i="19"/>
  <c r="L103" i="19" s="1"/>
  <c r="I98" i="19"/>
  <c r="I99" i="19" s="1"/>
  <c r="I94" i="19"/>
  <c r="I95" i="19" s="1"/>
  <c r="I90" i="19"/>
  <c r="I91" i="19" s="1"/>
  <c r="N86" i="19"/>
  <c r="N87" i="19" s="1"/>
  <c r="N82" i="19"/>
  <c r="N83" i="19" s="1"/>
  <c r="P90" i="19"/>
  <c r="P91" i="19" s="1"/>
  <c r="F90" i="19"/>
  <c r="F91" i="19" s="1"/>
  <c r="I86" i="19"/>
  <c r="I87" i="19" s="1"/>
  <c r="H82" i="19"/>
  <c r="H83" i="19" s="1"/>
  <c r="S78" i="19"/>
  <c r="S79" i="19" s="1"/>
  <c r="S74" i="19"/>
  <c r="S75" i="19" s="1"/>
  <c r="S70" i="19"/>
  <c r="S71" i="19" s="1"/>
  <c r="S66" i="19"/>
  <c r="S67" i="19" s="1"/>
  <c r="S62" i="19"/>
  <c r="S63" i="19" s="1"/>
  <c r="S58" i="19"/>
  <c r="S59" i="19" s="1"/>
  <c r="S54" i="19"/>
  <c r="S55" i="19" s="1"/>
  <c r="S50" i="19"/>
  <c r="S51" i="19" s="1"/>
  <c r="S46" i="19"/>
  <c r="S47" i="19" s="1"/>
  <c r="S42" i="19"/>
  <c r="S43" i="19" s="1"/>
  <c r="S38" i="19"/>
  <c r="S39" i="19" s="1"/>
  <c r="S34" i="19"/>
  <c r="S35" i="19" s="1"/>
  <c r="S30" i="19"/>
  <c r="S31" i="19" s="1"/>
  <c r="S26" i="19"/>
  <c r="S27" i="19" s="1"/>
  <c r="O90" i="19"/>
  <c r="O91" i="19" s="1"/>
  <c r="E90" i="19"/>
  <c r="E91" i="19" s="1"/>
  <c r="G86" i="19"/>
  <c r="G87" i="19" s="1"/>
  <c r="F82" i="19"/>
  <c r="F83" i="19" s="1"/>
  <c r="P78" i="19"/>
  <c r="P79" i="19" s="1"/>
  <c r="P74" i="19"/>
  <c r="P75" i="19" s="1"/>
  <c r="P70" i="19"/>
  <c r="P71" i="19" s="1"/>
  <c r="P66" i="19"/>
  <c r="P67" i="19" s="1"/>
  <c r="P62" i="19"/>
  <c r="P63" i="19" s="1"/>
  <c r="P58" i="19"/>
  <c r="P59" i="19" s="1"/>
  <c r="P54" i="19"/>
  <c r="P55" i="19" s="1"/>
  <c r="P50" i="19"/>
  <c r="P51" i="19" s="1"/>
  <c r="P46" i="19"/>
  <c r="P47" i="19" s="1"/>
  <c r="P42" i="19"/>
  <c r="P43" i="19" s="1"/>
  <c r="P38" i="19"/>
  <c r="P39" i="19" s="1"/>
  <c r="P34" i="19"/>
  <c r="P35" i="19" s="1"/>
  <c r="P30" i="19"/>
  <c r="P31" i="19" s="1"/>
  <c r="P26" i="19"/>
  <c r="P27" i="19" s="1"/>
  <c r="N90" i="19"/>
  <c r="N91" i="19" s="1"/>
  <c r="R86" i="19"/>
  <c r="R87" i="19" s="1"/>
  <c r="F86" i="19"/>
  <c r="F87" i="19" s="1"/>
  <c r="R82" i="19"/>
  <c r="R83" i="19" s="1"/>
  <c r="L78" i="19"/>
  <c r="L79" i="19" s="1"/>
  <c r="L74" i="19"/>
  <c r="L75" i="19" s="1"/>
  <c r="L70" i="19"/>
  <c r="L71" i="19" s="1"/>
  <c r="L66" i="19"/>
  <c r="L67" i="19" s="1"/>
  <c r="L62" i="19"/>
  <c r="L63" i="19" s="1"/>
  <c r="L58" i="19"/>
  <c r="L59" i="19" s="1"/>
  <c r="L54" i="19"/>
  <c r="L55" i="19" s="1"/>
  <c r="L50" i="19"/>
  <c r="L51" i="19" s="1"/>
  <c r="L46" i="19"/>
  <c r="L47" i="19" s="1"/>
  <c r="L42" i="19"/>
  <c r="L43" i="19" s="1"/>
  <c r="L38" i="19"/>
  <c r="L39" i="19" s="1"/>
  <c r="L34" i="19"/>
  <c r="L35" i="19" s="1"/>
  <c r="L30" i="19"/>
  <c r="L31" i="19" s="1"/>
  <c r="L26" i="19"/>
  <c r="L27" i="19" s="1"/>
  <c r="P86" i="19"/>
  <c r="P87" i="19" s="1"/>
  <c r="H86" i="19"/>
  <c r="H87" i="19" s="1"/>
  <c r="P82" i="19"/>
  <c r="P83" i="19" s="1"/>
  <c r="G82" i="19"/>
  <c r="G83" i="19" s="1"/>
  <c r="R78" i="19"/>
  <c r="R79" i="19" s="1"/>
  <c r="R74" i="19"/>
  <c r="R75" i="19" s="1"/>
  <c r="R70" i="19"/>
  <c r="R71" i="19" s="1"/>
  <c r="R66" i="19"/>
  <c r="R67" i="19" s="1"/>
  <c r="R62" i="19"/>
  <c r="R63" i="19" s="1"/>
  <c r="R58" i="19"/>
  <c r="R59" i="19" s="1"/>
  <c r="R54" i="19"/>
  <c r="R55" i="19" s="1"/>
  <c r="R50" i="19"/>
  <c r="R51" i="19" s="1"/>
  <c r="R46" i="19"/>
  <c r="R47" i="19" s="1"/>
  <c r="R42" i="19"/>
  <c r="R43" i="19" s="1"/>
  <c r="R38" i="19"/>
  <c r="R39" i="19" s="1"/>
  <c r="R34" i="19"/>
  <c r="R35" i="19" s="1"/>
  <c r="R30" i="19"/>
  <c r="R31" i="19" s="1"/>
  <c r="R26" i="19"/>
  <c r="R27" i="19" s="1"/>
  <c r="K78" i="19"/>
  <c r="K79" i="19" s="1"/>
  <c r="K74" i="19"/>
  <c r="K75" i="19" s="1"/>
  <c r="K70" i="19"/>
  <c r="K71" i="19" s="1"/>
  <c r="K66" i="19"/>
  <c r="K67" i="19" s="1"/>
  <c r="K62" i="19"/>
  <c r="K63" i="19" s="1"/>
  <c r="K58" i="19"/>
  <c r="K59" i="19" s="1"/>
  <c r="K54" i="19"/>
  <c r="K55" i="19" s="1"/>
  <c r="K50" i="19"/>
  <c r="K51" i="19" s="1"/>
  <c r="K46" i="19"/>
  <c r="K47" i="19" s="1"/>
  <c r="K42" i="19"/>
  <c r="K43" i="19" s="1"/>
  <c r="K38" i="19"/>
  <c r="K39" i="19" s="1"/>
  <c r="K34" i="19"/>
  <c r="K35" i="19" s="1"/>
  <c r="K30" i="19"/>
  <c r="K31" i="19" s="1"/>
  <c r="K26" i="19"/>
  <c r="K27" i="19" s="1"/>
  <c r="T98" i="19"/>
  <c r="T99" i="19" s="1"/>
  <c r="L94" i="19"/>
  <c r="L95" i="19" s="1"/>
  <c r="L90" i="19"/>
  <c r="L91" i="19" s="1"/>
  <c r="T86" i="19"/>
  <c r="T87" i="19" s="1"/>
  <c r="L86" i="19"/>
  <c r="L87" i="19" s="1"/>
  <c r="T82" i="19"/>
  <c r="T83" i="19" s="1"/>
  <c r="L82" i="19"/>
  <c r="L83" i="19" s="1"/>
  <c r="J78" i="19"/>
  <c r="J79" i="19" s="1"/>
  <c r="J74" i="19"/>
  <c r="J75" i="19" s="1"/>
  <c r="J70" i="19"/>
  <c r="J71" i="19" s="1"/>
  <c r="J66" i="19"/>
  <c r="J67" i="19" s="1"/>
  <c r="J62" i="19"/>
  <c r="J63" i="19" s="1"/>
  <c r="J58" i="19"/>
  <c r="J59" i="19" s="1"/>
  <c r="J54" i="19"/>
  <c r="J55" i="19" s="1"/>
  <c r="J50" i="19"/>
  <c r="J51" i="19" s="1"/>
  <c r="J46" i="19"/>
  <c r="J47" i="19" s="1"/>
  <c r="J42" i="19"/>
  <c r="J43" i="19" s="1"/>
  <c r="J38" i="19"/>
  <c r="J39" i="19" s="1"/>
  <c r="J34" i="19"/>
  <c r="J35" i="19" s="1"/>
  <c r="J30" i="19"/>
  <c r="J31" i="19" s="1"/>
  <c r="J26" i="19"/>
  <c r="J27" i="19" s="1"/>
  <c r="L98" i="19"/>
  <c r="L99" i="19" s="1"/>
  <c r="T94" i="19"/>
  <c r="T95" i="19" s="1"/>
  <c r="T90" i="19"/>
  <c r="T91" i="19" s="1"/>
  <c r="S102" i="19"/>
  <c r="S103" i="19" s="1"/>
  <c r="K102" i="19"/>
  <c r="K103" i="19" s="1"/>
  <c r="S98" i="19"/>
  <c r="S99" i="19" s="1"/>
  <c r="K98" i="19"/>
  <c r="K99" i="19" s="1"/>
  <c r="S94" i="19"/>
  <c r="S95" i="19" s="1"/>
  <c r="K94" i="19"/>
  <c r="K95" i="19" s="1"/>
  <c r="S90" i="19"/>
  <c r="S91" i="19" s="1"/>
  <c r="K90" i="19"/>
  <c r="K91" i="19" s="1"/>
  <c r="S86" i="19"/>
  <c r="S87" i="19" s="1"/>
  <c r="K86" i="19"/>
  <c r="K87" i="19" s="1"/>
  <c r="S82" i="19"/>
  <c r="S83" i="19" s="1"/>
  <c r="K82" i="19"/>
  <c r="K83" i="19" s="1"/>
  <c r="H78" i="19"/>
  <c r="H79" i="19" s="1"/>
  <c r="H74" i="19"/>
  <c r="H75" i="19" s="1"/>
  <c r="H70" i="19"/>
  <c r="H71" i="19" s="1"/>
  <c r="H66" i="19"/>
  <c r="H67" i="19" s="1"/>
  <c r="H62" i="19"/>
  <c r="H63" i="19" s="1"/>
  <c r="H58" i="19"/>
  <c r="H59" i="19" s="1"/>
  <c r="H54" i="19"/>
  <c r="H55" i="19" s="1"/>
  <c r="H50" i="19"/>
  <c r="H51" i="19" s="1"/>
  <c r="H46" i="19"/>
  <c r="H47" i="19" s="1"/>
  <c r="H42" i="19"/>
  <c r="H43" i="19" s="1"/>
  <c r="H38" i="19"/>
  <c r="H39" i="19" s="1"/>
  <c r="H34" i="19"/>
  <c r="H35" i="19" s="1"/>
  <c r="H30" i="19"/>
  <c r="H31" i="19" s="1"/>
  <c r="H26" i="19"/>
  <c r="H27" i="19" s="1"/>
  <c r="I82" i="19"/>
  <c r="I83" i="19" s="1"/>
  <c r="Q78" i="19"/>
  <c r="Q79" i="19" s="1"/>
  <c r="I78" i="19"/>
  <c r="I79" i="19" s="1"/>
  <c r="Q74" i="19"/>
  <c r="Q75" i="19" s="1"/>
  <c r="I74" i="19"/>
  <c r="I75" i="19" s="1"/>
  <c r="Q70" i="19"/>
  <c r="Q71" i="19" s="1"/>
  <c r="I70" i="19"/>
  <c r="I71" i="19" s="1"/>
  <c r="Q66" i="19"/>
  <c r="Q67" i="19" s="1"/>
  <c r="I66" i="19"/>
  <c r="I67" i="19" s="1"/>
  <c r="Q62" i="19"/>
  <c r="Q63" i="19" s="1"/>
  <c r="I62" i="19"/>
  <c r="I63" i="19" s="1"/>
  <c r="Q58" i="19"/>
  <c r="Q59" i="19" s="1"/>
  <c r="I58" i="19"/>
  <c r="I59" i="19" s="1"/>
  <c r="Q54" i="19"/>
  <c r="Q55" i="19" s="1"/>
  <c r="I54" i="19"/>
  <c r="I55" i="19" s="1"/>
  <c r="Q50" i="19"/>
  <c r="Q51" i="19" s="1"/>
  <c r="I50" i="19"/>
  <c r="I51" i="19" s="1"/>
  <c r="Q46" i="19"/>
  <c r="Q47" i="19" s="1"/>
  <c r="I46" i="19"/>
  <c r="I47" i="19" s="1"/>
  <c r="Q42" i="19"/>
  <c r="Q43" i="19" s="1"/>
  <c r="I42" i="19"/>
  <c r="I43" i="19" s="1"/>
  <c r="Q38" i="19"/>
  <c r="Q39" i="19" s="1"/>
  <c r="I38" i="19"/>
  <c r="I39" i="19" s="1"/>
  <c r="Q34" i="19"/>
  <c r="Q35" i="19" s="1"/>
  <c r="I34" i="19"/>
  <c r="I35" i="19" s="1"/>
  <c r="Q30" i="19"/>
  <c r="Q31" i="19" s="1"/>
  <c r="I30" i="19"/>
  <c r="I31" i="19" s="1"/>
  <c r="Q26" i="19"/>
  <c r="Q27" i="19" s="1"/>
  <c r="I26" i="19"/>
  <c r="I27" i="19" s="1"/>
  <c r="O78" i="19"/>
  <c r="O79" i="19" s="1"/>
  <c r="G78" i="19"/>
  <c r="G79" i="19" s="1"/>
  <c r="O74" i="19"/>
  <c r="O75" i="19" s="1"/>
  <c r="G74" i="19"/>
  <c r="G75" i="19" s="1"/>
  <c r="O70" i="19"/>
  <c r="O71" i="19" s="1"/>
  <c r="G70" i="19"/>
  <c r="G71" i="19" s="1"/>
  <c r="O66" i="19"/>
  <c r="O67" i="19" s="1"/>
  <c r="G66" i="19"/>
  <c r="G67" i="19" s="1"/>
  <c r="O62" i="19"/>
  <c r="O63" i="19" s="1"/>
  <c r="G62" i="19"/>
  <c r="G63" i="19" s="1"/>
  <c r="O58" i="19"/>
  <c r="O59" i="19" s="1"/>
  <c r="G58" i="19"/>
  <c r="G59" i="19" s="1"/>
  <c r="O54" i="19"/>
  <c r="O55" i="19" s="1"/>
  <c r="G54" i="19"/>
  <c r="G55" i="19" s="1"/>
  <c r="O50" i="19"/>
  <c r="O51" i="19" s="1"/>
  <c r="G50" i="19"/>
  <c r="G51" i="19" s="1"/>
  <c r="O46" i="19"/>
  <c r="O47" i="19" s="1"/>
  <c r="G46" i="19"/>
  <c r="G47" i="19" s="1"/>
  <c r="O42" i="19"/>
  <c r="O43" i="19" s="1"/>
  <c r="G42" i="19"/>
  <c r="G43" i="19" s="1"/>
  <c r="O38" i="19"/>
  <c r="O39" i="19" s="1"/>
  <c r="G38" i="19"/>
  <c r="G39" i="19" s="1"/>
  <c r="O34" i="19"/>
  <c r="O35" i="19" s="1"/>
  <c r="G34" i="19"/>
  <c r="G35" i="19" s="1"/>
  <c r="O30" i="19"/>
  <c r="O31" i="19" s="1"/>
  <c r="G30" i="19"/>
  <c r="G31" i="19" s="1"/>
  <c r="O26" i="19"/>
  <c r="O27" i="19" s="1"/>
  <c r="G26" i="19"/>
  <c r="G27" i="19" s="1"/>
  <c r="N78" i="19"/>
  <c r="N79" i="19" s="1"/>
  <c r="F78" i="19"/>
  <c r="F79" i="19" s="1"/>
  <c r="N74" i="19"/>
  <c r="N75" i="19" s="1"/>
  <c r="F74" i="19"/>
  <c r="F75" i="19" s="1"/>
  <c r="N70" i="19"/>
  <c r="N71" i="19" s="1"/>
  <c r="F70" i="19"/>
  <c r="F71" i="19" s="1"/>
  <c r="N66" i="19"/>
  <c r="N67" i="19" s="1"/>
  <c r="F66" i="19"/>
  <c r="F67" i="19" s="1"/>
  <c r="N62" i="19"/>
  <c r="N63" i="19" s="1"/>
  <c r="F62" i="19"/>
  <c r="F63" i="19" s="1"/>
  <c r="N58" i="19"/>
  <c r="N59" i="19" s="1"/>
  <c r="F58" i="19"/>
  <c r="F59" i="19" s="1"/>
  <c r="N54" i="19"/>
  <c r="N55" i="19" s="1"/>
  <c r="F54" i="19"/>
  <c r="F55" i="19" s="1"/>
  <c r="N50" i="19"/>
  <c r="N51" i="19" s="1"/>
  <c r="F50" i="19"/>
  <c r="F51" i="19" s="1"/>
  <c r="N46" i="19"/>
  <c r="N47" i="19" s="1"/>
  <c r="F46" i="19"/>
  <c r="F47" i="19" s="1"/>
  <c r="N42" i="19"/>
  <c r="N43" i="19" s="1"/>
  <c r="F42" i="19"/>
  <c r="F43" i="19" s="1"/>
  <c r="N38" i="19"/>
  <c r="N39" i="19" s="1"/>
  <c r="F38" i="19"/>
  <c r="F39" i="19" s="1"/>
  <c r="N34" i="19"/>
  <c r="N35" i="19" s="1"/>
  <c r="F34" i="19"/>
  <c r="F35" i="19" s="1"/>
  <c r="N30" i="19"/>
  <c r="N31" i="19" s="1"/>
  <c r="F30" i="19"/>
  <c r="F31" i="19" s="1"/>
  <c r="N26" i="19"/>
  <c r="N27" i="19" s="1"/>
  <c r="F26" i="19"/>
  <c r="F27" i="19" s="1"/>
  <c r="E82" i="19"/>
  <c r="E83" i="19" s="1"/>
  <c r="M78" i="19"/>
  <c r="M79" i="19" s="1"/>
  <c r="E78" i="19"/>
  <c r="E79" i="19" s="1"/>
  <c r="M74" i="19"/>
  <c r="M75" i="19" s="1"/>
  <c r="E74" i="19"/>
  <c r="E75" i="19" s="1"/>
  <c r="M70" i="19"/>
  <c r="M71" i="19" s="1"/>
  <c r="E70" i="19"/>
  <c r="E71" i="19" s="1"/>
  <c r="M66" i="19"/>
  <c r="M67" i="19" s="1"/>
  <c r="E66" i="19"/>
  <c r="E67" i="19" s="1"/>
  <c r="M62" i="19"/>
  <c r="M63" i="19" s="1"/>
  <c r="E62" i="19"/>
  <c r="E63" i="19" s="1"/>
  <c r="M58" i="19"/>
  <c r="M59" i="19" s="1"/>
  <c r="E58" i="19"/>
  <c r="E59" i="19" s="1"/>
  <c r="M54" i="19"/>
  <c r="M55" i="19" s="1"/>
  <c r="E54" i="19"/>
  <c r="E55" i="19" s="1"/>
  <c r="M50" i="19"/>
  <c r="M51" i="19" s="1"/>
  <c r="E50" i="19"/>
  <c r="E51" i="19" s="1"/>
  <c r="M46" i="19"/>
  <c r="M47" i="19" s="1"/>
  <c r="E46" i="19"/>
  <c r="E47" i="19" s="1"/>
  <c r="M42" i="19"/>
  <c r="M43" i="19" s="1"/>
  <c r="E42" i="19"/>
  <c r="E43" i="19" s="1"/>
  <c r="M38" i="19"/>
  <c r="M39" i="19" s="1"/>
  <c r="E38" i="19"/>
  <c r="E39" i="19" s="1"/>
  <c r="M34" i="19"/>
  <c r="M35" i="19" s="1"/>
  <c r="E34" i="19"/>
  <c r="E35" i="19" s="1"/>
  <c r="M30" i="19"/>
  <c r="M31" i="19" s="1"/>
  <c r="E30" i="19"/>
  <c r="E31" i="19" s="1"/>
  <c r="M26" i="19"/>
  <c r="M27" i="19" s="1"/>
  <c r="E26" i="19"/>
  <c r="E27" i="19" s="1"/>
  <c r="B6" i="26" l="1"/>
  <c r="B28" i="26"/>
  <c r="B33" i="26"/>
  <c r="B40" i="26"/>
  <c r="B49" i="26"/>
  <c r="B55" i="26"/>
  <c r="B72" i="26"/>
  <c r="B84" i="26"/>
  <c r="B92" i="26"/>
  <c r="B98" i="26"/>
  <c r="B111" i="26"/>
  <c r="B64" i="26"/>
  <c r="A5" i="26"/>
  <c r="B123" i="26"/>
  <c r="B105" i="26"/>
  <c r="B16" i="26"/>
  <c r="D36" i="24"/>
  <c r="D1" i="24"/>
  <c r="D145" i="20" l="1"/>
  <c r="D139" i="20"/>
  <c r="D126" i="20"/>
  <c r="D119" i="20"/>
  <c r="D111" i="20"/>
  <c r="D103" i="20"/>
  <c r="D94" i="20"/>
  <c r="D82" i="20"/>
  <c r="D73" i="20"/>
  <c r="D63" i="20"/>
  <c r="D56" i="20"/>
  <c r="D46" i="20"/>
  <c r="D38" i="20"/>
  <c r="D32" i="20"/>
  <c r="D19" i="20"/>
  <c r="D3" i="12"/>
  <c r="B7" i="24" s="1"/>
  <c r="E3" i="12"/>
  <c r="B17" i="24" s="1"/>
  <c r="F3" i="12"/>
  <c r="B29" i="24" s="1"/>
  <c r="G3" i="12"/>
  <c r="B34" i="24" s="1"/>
  <c r="H3" i="12"/>
  <c r="B42" i="24" s="1"/>
  <c r="I3" i="12"/>
  <c r="B51" i="24" s="1"/>
  <c r="J3" i="12"/>
  <c r="B57" i="24" s="1"/>
  <c r="K3" i="12"/>
  <c r="B66" i="24" s="1"/>
  <c r="B74" i="24"/>
  <c r="B85" i="24"/>
  <c r="L3" i="12"/>
  <c r="B93" i="24" s="1"/>
  <c r="M3" i="12"/>
  <c r="B100" i="24" s="1"/>
  <c r="N3" i="12"/>
  <c r="B107" i="24" s="1"/>
  <c r="O3" i="12"/>
  <c r="B113" i="24" s="1"/>
  <c r="B125" i="24"/>
  <c r="P3" i="12"/>
  <c r="B126" i="24" s="1"/>
  <c r="Q3" i="12"/>
  <c r="R3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B6" i="24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D3" i="19"/>
  <c r="E3" i="19"/>
  <c r="B17" i="20" s="1"/>
  <c r="F3" i="19"/>
  <c r="B30" i="20" s="1"/>
  <c r="G3" i="19"/>
  <c r="B36" i="20" s="1"/>
  <c r="H3" i="19"/>
  <c r="B44" i="20" s="1"/>
  <c r="I3" i="19"/>
  <c r="B54" i="20" s="1"/>
  <c r="J3" i="19"/>
  <c r="B61" i="20" s="1"/>
  <c r="K3" i="19"/>
  <c r="B71" i="20" s="1"/>
  <c r="B80" i="20"/>
  <c r="B92" i="20"/>
  <c r="L3" i="19"/>
  <c r="B101" i="20" s="1"/>
  <c r="M3" i="19"/>
  <c r="B109" i="20" s="1"/>
  <c r="N3" i="19"/>
  <c r="B117" i="20" s="1"/>
  <c r="O3" i="19"/>
  <c r="B124" i="20" s="1"/>
  <c r="P3" i="19"/>
  <c r="B137" i="20" s="1"/>
  <c r="Q3" i="19"/>
  <c r="B143" i="20" s="1"/>
  <c r="R3" i="19"/>
  <c r="S3" i="19"/>
  <c r="T3" i="19"/>
  <c r="D5" i="19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R5" i="19"/>
  <c r="S5" i="19"/>
  <c r="T5" i="19"/>
  <c r="D6" i="19"/>
  <c r="E6" i="19"/>
  <c r="O17" i="20" s="1"/>
  <c r="F6" i="19"/>
  <c r="O30" i="20" s="1"/>
  <c r="G6" i="19"/>
  <c r="O36" i="20" s="1"/>
  <c r="H6" i="19"/>
  <c r="O44" i="20" s="1"/>
  <c r="I6" i="19"/>
  <c r="O54" i="20" s="1"/>
  <c r="J6" i="19"/>
  <c r="O61" i="20" s="1"/>
  <c r="K6" i="19"/>
  <c r="O71" i="20" s="1"/>
  <c r="O80" i="20"/>
  <c r="O92" i="20"/>
  <c r="L6" i="19"/>
  <c r="O101" i="20" s="1"/>
  <c r="M6" i="19"/>
  <c r="O109" i="20" s="1"/>
  <c r="N6" i="19"/>
  <c r="O117" i="20" s="1"/>
  <c r="O6" i="19"/>
  <c r="O124" i="20" s="1"/>
  <c r="P6" i="19"/>
  <c r="O137" i="20" s="1"/>
  <c r="Q6" i="19"/>
  <c r="O143" i="20" s="1"/>
  <c r="R6" i="19"/>
  <c r="S6" i="19"/>
  <c r="T6" i="19"/>
  <c r="D14" i="12"/>
  <c r="H9" i="7"/>
  <c r="E13" i="12"/>
  <c r="N13" i="12"/>
  <c r="Q9" i="7"/>
  <c r="L14" i="12"/>
  <c r="P9" i="19"/>
  <c r="I14" i="12"/>
  <c r="S9" i="19"/>
  <c r="F11" i="7"/>
  <c r="T11" i="19"/>
  <c r="P11" i="12"/>
  <c r="H9" i="19"/>
  <c r="R9" i="19"/>
  <c r="I14" i="11"/>
  <c r="G14" i="11"/>
  <c r="N11" i="7"/>
  <c r="N14" i="12"/>
  <c r="J11" i="7"/>
  <c r="K9" i="7"/>
  <c r="I11" i="12"/>
  <c r="J14" i="12"/>
  <c r="N9" i="19"/>
  <c r="O9" i="7"/>
  <c r="F14" i="11"/>
  <c r="N9" i="7"/>
  <c r="D11" i="7"/>
  <c r="G13" i="12"/>
  <c r="O14" i="12"/>
  <c r="J11" i="12"/>
  <c r="L11" i="7"/>
  <c r="G9" i="7"/>
  <c r="O11" i="19"/>
  <c r="L9" i="19"/>
  <c r="K11" i="12"/>
  <c r="J11" i="19"/>
  <c r="E14" i="11"/>
  <c r="D13" i="12"/>
  <c r="H11" i="7"/>
  <c r="E14" i="12"/>
  <c r="N11" i="12"/>
  <c r="J9" i="7"/>
  <c r="G14" i="12"/>
  <c r="K11" i="7"/>
  <c r="Q11" i="19"/>
  <c r="I13" i="12"/>
  <c r="S11" i="19"/>
  <c r="F9" i="7"/>
  <c r="T9" i="19"/>
  <c r="P14" i="12"/>
  <c r="N11" i="19"/>
  <c r="R11" i="19"/>
  <c r="E11" i="12"/>
  <c r="G11" i="12"/>
  <c r="Q9" i="19"/>
  <c r="R9" i="7"/>
  <c r="L9" i="7"/>
  <c r="P13" i="12"/>
  <c r="R13" i="12"/>
  <c r="F13" i="12"/>
  <c r="P9" i="7"/>
  <c r="H14" i="12"/>
  <c r="R11" i="7"/>
  <c r="O11" i="7"/>
  <c r="J9" i="19"/>
  <c r="Q14" i="12"/>
  <c r="Q11" i="7"/>
  <c r="P11" i="19"/>
  <c r="E11" i="19"/>
  <c r="H11" i="19"/>
  <c r="H14" i="11"/>
  <c r="J14" i="11"/>
  <c r="I9" i="19"/>
  <c r="R11" i="12"/>
  <c r="D9" i="7"/>
  <c r="F14" i="12"/>
  <c r="M14" i="12"/>
  <c r="P11" i="7"/>
  <c r="H11" i="12"/>
  <c r="O13" i="12"/>
  <c r="F9" i="19"/>
  <c r="J13" i="12"/>
  <c r="G11" i="19"/>
  <c r="G11" i="7"/>
  <c r="K14" i="11"/>
  <c r="Q13" i="12"/>
  <c r="I11" i="19"/>
  <c r="R14" i="12"/>
  <c r="F11" i="12"/>
  <c r="K9" i="19"/>
  <c r="M11" i="12"/>
  <c r="D9" i="19"/>
  <c r="H13" i="12"/>
  <c r="O11" i="12"/>
  <c r="F11" i="19"/>
  <c r="G9" i="19"/>
  <c r="K13" i="12"/>
  <c r="M11" i="7"/>
  <c r="Q11" i="12"/>
  <c r="O9" i="19"/>
  <c r="I9" i="7"/>
  <c r="L11" i="12"/>
  <c r="K11" i="19"/>
  <c r="M13" i="12"/>
  <c r="D11" i="19"/>
  <c r="E9" i="19"/>
  <c r="E9" i="7"/>
  <c r="L11" i="19"/>
  <c r="M9" i="19"/>
  <c r="K14" i="12"/>
  <c r="M9" i="7"/>
  <c r="D11" i="12"/>
  <c r="I11" i="7"/>
  <c r="L13" i="12"/>
  <c r="E11" i="7"/>
  <c r="M11" i="19"/>
  <c r="E31" i="12"/>
  <c r="E43" i="12"/>
  <c r="E83" i="12"/>
  <c r="E91" i="12"/>
  <c r="E51" i="12"/>
  <c r="E59" i="12"/>
  <c r="E67" i="12"/>
  <c r="E75" i="12"/>
  <c r="E103" i="12"/>
  <c r="E87" i="12"/>
  <c r="E79" i="12"/>
  <c r="E71" i="12"/>
  <c r="E63" i="12"/>
  <c r="E95" i="12"/>
  <c r="E55" i="12"/>
  <c r="E39" i="12"/>
  <c r="E47" i="12"/>
  <c r="E107" i="12"/>
  <c r="E99" i="12"/>
  <c r="E35" i="12"/>
  <c r="N31" i="12"/>
  <c r="N35" i="12"/>
  <c r="N39" i="12"/>
  <c r="N43" i="12"/>
  <c r="N47" i="12"/>
  <c r="N51" i="12"/>
  <c r="N55" i="12"/>
  <c r="N59" i="12"/>
  <c r="N63" i="12"/>
  <c r="N67" i="12"/>
  <c r="N71" i="12"/>
  <c r="N75" i="12"/>
  <c r="N79" i="12"/>
  <c r="N87" i="12"/>
  <c r="N103" i="12"/>
  <c r="N107" i="12"/>
  <c r="N95" i="12"/>
  <c r="N99" i="12"/>
  <c r="N83" i="12"/>
  <c r="N91" i="12"/>
  <c r="T88" i="19"/>
  <c r="T44" i="19"/>
  <c r="T60" i="19"/>
  <c r="T76" i="19"/>
  <c r="T32" i="19"/>
  <c r="T48" i="19"/>
  <c r="T64" i="19"/>
  <c r="T80" i="19"/>
  <c r="T68" i="19"/>
  <c r="T52" i="19"/>
  <c r="T36" i="19"/>
  <c r="T104" i="19"/>
  <c r="T72" i="19"/>
  <c r="T56" i="19"/>
  <c r="T40" i="19"/>
  <c r="T28" i="19"/>
  <c r="T100" i="19"/>
  <c r="T92" i="19"/>
  <c r="T84" i="19"/>
  <c r="T96" i="19"/>
  <c r="G47" i="12"/>
  <c r="G51" i="12"/>
  <c r="G55" i="12"/>
  <c r="G59" i="12"/>
  <c r="G63" i="12"/>
  <c r="G67" i="12"/>
  <c r="G71" i="12"/>
  <c r="G75" i="12"/>
  <c r="G79" i="12"/>
  <c r="G83" i="12"/>
  <c r="G87" i="12"/>
  <c r="G95" i="12"/>
  <c r="G99" i="12"/>
  <c r="G107" i="12"/>
  <c r="G103" i="12"/>
  <c r="G91" i="12"/>
  <c r="G39" i="12"/>
  <c r="G43" i="12"/>
  <c r="G31" i="12"/>
  <c r="G35" i="12"/>
  <c r="O84" i="19"/>
  <c r="O88" i="19"/>
  <c r="O104" i="19"/>
  <c r="O96" i="19"/>
  <c r="O92" i="19"/>
  <c r="O100" i="19"/>
  <c r="O80" i="19"/>
  <c r="O76" i="19"/>
  <c r="O72" i="19"/>
  <c r="O68" i="19"/>
  <c r="O64" i="19"/>
  <c r="O60" i="19"/>
  <c r="O56" i="19"/>
  <c r="O52" i="19"/>
  <c r="O48" i="19"/>
  <c r="O44" i="19"/>
  <c r="O40" i="19"/>
  <c r="O36" i="19"/>
  <c r="O32" i="19"/>
  <c r="O28" i="19"/>
  <c r="J92" i="19"/>
  <c r="J88" i="19"/>
  <c r="J84" i="19"/>
  <c r="J96" i="19"/>
  <c r="J100" i="19"/>
  <c r="J104" i="19"/>
  <c r="J80" i="19"/>
  <c r="J76" i="19"/>
  <c r="J72" i="19"/>
  <c r="J68" i="19"/>
  <c r="J64" i="19"/>
  <c r="J60" i="19"/>
  <c r="J56" i="19"/>
  <c r="J52" i="19"/>
  <c r="J48" i="19"/>
  <c r="J44" i="19"/>
  <c r="J40" i="19"/>
  <c r="J36" i="19"/>
  <c r="J32" i="19"/>
  <c r="J28" i="19"/>
  <c r="Q100" i="19"/>
  <c r="Q104" i="19"/>
  <c r="Q88" i="19"/>
  <c r="Q84" i="19"/>
  <c r="Q96" i="19"/>
  <c r="Q92" i="19"/>
  <c r="Q80" i="19"/>
  <c r="Q76" i="19"/>
  <c r="Q72" i="19"/>
  <c r="Q68" i="19"/>
  <c r="Q64" i="19"/>
  <c r="Q60" i="19"/>
  <c r="Q56" i="19"/>
  <c r="Q52" i="19"/>
  <c r="Q48" i="19"/>
  <c r="Q44" i="19"/>
  <c r="Q40" i="19"/>
  <c r="Q36" i="19"/>
  <c r="Q32" i="19"/>
  <c r="Q28" i="19"/>
  <c r="I43" i="12"/>
  <c r="I31" i="12"/>
  <c r="I39" i="12"/>
  <c r="I35" i="12"/>
  <c r="I51" i="12"/>
  <c r="I67" i="12"/>
  <c r="I103" i="12"/>
  <c r="I59" i="12"/>
  <c r="I95" i="12"/>
  <c r="I99" i="12"/>
  <c r="I107" i="12"/>
  <c r="I75" i="12"/>
  <c r="I55" i="12"/>
  <c r="I83" i="12"/>
  <c r="I47" i="12"/>
  <c r="I63" i="12"/>
  <c r="I87" i="12"/>
  <c r="I71" i="12"/>
  <c r="I91" i="12"/>
  <c r="I79" i="12"/>
  <c r="S28" i="19"/>
  <c r="S32" i="19"/>
  <c r="S36" i="19"/>
  <c r="S40" i="19"/>
  <c r="S44" i="19"/>
  <c r="S48" i="19"/>
  <c r="S52" i="19"/>
  <c r="S56" i="19"/>
  <c r="S60" i="19"/>
  <c r="S64" i="19"/>
  <c r="S68" i="19"/>
  <c r="S72" i="19"/>
  <c r="S76" i="19"/>
  <c r="S80" i="19"/>
  <c r="S104" i="19"/>
  <c r="S100" i="19"/>
  <c r="S96" i="19"/>
  <c r="S92" i="19"/>
  <c r="S88" i="19"/>
  <c r="S84" i="19"/>
  <c r="N84" i="19"/>
  <c r="N88" i="19"/>
  <c r="N96" i="19"/>
  <c r="N92" i="19"/>
  <c r="N104" i="19"/>
  <c r="N100" i="19"/>
  <c r="N80" i="19"/>
  <c r="N76" i="19"/>
  <c r="N72" i="19"/>
  <c r="N68" i="19"/>
  <c r="N64" i="19"/>
  <c r="N60" i="19"/>
  <c r="N56" i="19"/>
  <c r="N52" i="19"/>
  <c r="N48" i="19"/>
  <c r="N44" i="19"/>
  <c r="N40" i="19"/>
  <c r="N36" i="19"/>
  <c r="N32" i="19"/>
  <c r="N28" i="19"/>
  <c r="R100" i="19"/>
  <c r="R96" i="19"/>
  <c r="R92" i="19"/>
  <c r="R84" i="19"/>
  <c r="R88" i="19"/>
  <c r="R104" i="19"/>
  <c r="R80" i="19"/>
  <c r="R76" i="19"/>
  <c r="R72" i="19"/>
  <c r="R68" i="19"/>
  <c r="R64" i="19"/>
  <c r="R60" i="19"/>
  <c r="R56" i="19"/>
  <c r="R52" i="19"/>
  <c r="R48" i="19"/>
  <c r="R44" i="19"/>
  <c r="R40" i="19"/>
  <c r="R36" i="19"/>
  <c r="R32" i="19"/>
  <c r="R28" i="19"/>
  <c r="P35" i="12"/>
  <c r="P83" i="12"/>
  <c r="P47" i="12"/>
  <c r="P43" i="12"/>
  <c r="P87" i="12"/>
  <c r="P31" i="12"/>
  <c r="P39" i="12"/>
  <c r="P95" i="12"/>
  <c r="P99" i="12"/>
  <c r="P103" i="12"/>
  <c r="P107" i="12"/>
  <c r="P51" i="12"/>
  <c r="P59" i="12"/>
  <c r="P67" i="12"/>
  <c r="P75" i="12"/>
  <c r="P55" i="12"/>
  <c r="P79" i="12"/>
  <c r="P71" i="12"/>
  <c r="P91" i="12"/>
  <c r="P63" i="12"/>
  <c r="R31" i="12"/>
  <c r="R35" i="12"/>
  <c r="R39" i="12"/>
  <c r="R43" i="12"/>
  <c r="R47" i="12"/>
  <c r="R51" i="12"/>
  <c r="R55" i="12"/>
  <c r="R59" i="12"/>
  <c r="R63" i="12"/>
  <c r="R67" i="12"/>
  <c r="R71" i="12"/>
  <c r="R75" i="12"/>
  <c r="R79" i="12"/>
  <c r="R87" i="12"/>
  <c r="R103" i="12"/>
  <c r="R95" i="12"/>
  <c r="R99" i="12"/>
  <c r="R107" i="12"/>
  <c r="R83" i="12"/>
  <c r="R91" i="12"/>
  <c r="F31" i="12"/>
  <c r="F35" i="12"/>
  <c r="F39" i="12"/>
  <c r="F43" i="12"/>
  <c r="F47" i="12"/>
  <c r="F51" i="12"/>
  <c r="F55" i="12"/>
  <c r="F59" i="12"/>
  <c r="F63" i="12"/>
  <c r="F67" i="12"/>
  <c r="F71" i="12"/>
  <c r="F75" i="12"/>
  <c r="F79" i="12"/>
  <c r="F95" i="12"/>
  <c r="F99" i="12"/>
  <c r="F107" i="12"/>
  <c r="F103" i="12"/>
  <c r="F91" i="12"/>
  <c r="F87" i="12"/>
  <c r="F83" i="12"/>
  <c r="P28" i="19"/>
  <c r="P32" i="19"/>
  <c r="P36" i="19"/>
  <c r="P40" i="19"/>
  <c r="P44" i="19"/>
  <c r="P48" i="19"/>
  <c r="P52" i="19"/>
  <c r="P56" i="19"/>
  <c r="P60" i="19"/>
  <c r="P64" i="19"/>
  <c r="P68" i="19"/>
  <c r="P72" i="19"/>
  <c r="P76" i="19"/>
  <c r="P80" i="19"/>
  <c r="P104" i="19"/>
  <c r="P100" i="19"/>
  <c r="P96" i="19"/>
  <c r="P92" i="19"/>
  <c r="P88" i="19"/>
  <c r="P84" i="19"/>
  <c r="E104" i="19"/>
  <c r="E88" i="19"/>
  <c r="E100" i="19"/>
  <c r="E92" i="19"/>
  <c r="E96" i="19"/>
  <c r="E84" i="19"/>
  <c r="E80" i="19"/>
  <c r="E76" i="19"/>
  <c r="E72" i="19"/>
  <c r="E68" i="19"/>
  <c r="E64" i="19"/>
  <c r="E60" i="19"/>
  <c r="E56" i="19"/>
  <c r="E52" i="19"/>
  <c r="E48" i="19"/>
  <c r="E44" i="19"/>
  <c r="E40" i="19"/>
  <c r="E36" i="19"/>
  <c r="E32" i="19"/>
  <c r="E28" i="19"/>
  <c r="H84" i="19"/>
  <c r="H96" i="19"/>
  <c r="H92" i="19"/>
  <c r="H100" i="19"/>
  <c r="H104" i="19"/>
  <c r="H88" i="19"/>
  <c r="H80" i="19"/>
  <c r="H76" i="19"/>
  <c r="H72" i="19"/>
  <c r="H68" i="19"/>
  <c r="H64" i="19"/>
  <c r="H60" i="19"/>
  <c r="H56" i="19"/>
  <c r="H52" i="19"/>
  <c r="H48" i="19"/>
  <c r="H44" i="19"/>
  <c r="H40" i="19"/>
  <c r="H36" i="19"/>
  <c r="H32" i="19"/>
  <c r="H28" i="19"/>
  <c r="J31" i="12"/>
  <c r="J35" i="12"/>
  <c r="J39" i="12"/>
  <c r="J43" i="12"/>
  <c r="J47" i="12"/>
  <c r="J51" i="12"/>
  <c r="J55" i="12"/>
  <c r="J59" i="12"/>
  <c r="J63" i="12"/>
  <c r="J67" i="12"/>
  <c r="J71" i="12"/>
  <c r="J75" i="12"/>
  <c r="J79" i="12"/>
  <c r="J107" i="12"/>
  <c r="J99" i="12"/>
  <c r="J103" i="12"/>
  <c r="J95" i="12"/>
  <c r="J83" i="12"/>
  <c r="J91" i="12"/>
  <c r="J87" i="12"/>
  <c r="G84" i="19"/>
  <c r="G88" i="19"/>
  <c r="G104" i="19"/>
  <c r="G92" i="19"/>
  <c r="G96" i="19"/>
  <c r="G100" i="19"/>
  <c r="G80" i="19"/>
  <c r="G76" i="19"/>
  <c r="G72" i="19"/>
  <c r="G68" i="19"/>
  <c r="G64" i="19"/>
  <c r="G60" i="19"/>
  <c r="G56" i="19"/>
  <c r="G52" i="19"/>
  <c r="G48" i="19"/>
  <c r="G44" i="19"/>
  <c r="G40" i="19"/>
  <c r="G36" i="19"/>
  <c r="G32" i="19"/>
  <c r="G28" i="19"/>
  <c r="Q35" i="12"/>
  <c r="Q83" i="12"/>
  <c r="Q39" i="12"/>
  <c r="Q31" i="12"/>
  <c r="Q63" i="12"/>
  <c r="Q95" i="12"/>
  <c r="Q47" i="12"/>
  <c r="Q55" i="12"/>
  <c r="Q99" i="12"/>
  <c r="Q107" i="12"/>
  <c r="Q71" i="12"/>
  <c r="Q103" i="12"/>
  <c r="Q91" i="12"/>
  <c r="Q51" i="12"/>
  <c r="Q75" i="12"/>
  <c r="Q79" i="12"/>
  <c r="Q87" i="12"/>
  <c r="Q59" i="12"/>
  <c r="Q67" i="12"/>
  <c r="Q43" i="12"/>
  <c r="I84" i="19"/>
  <c r="I88" i="19"/>
  <c r="I92" i="19"/>
  <c r="I96" i="19"/>
  <c r="I104" i="19"/>
  <c r="I100" i="19"/>
  <c r="I80" i="19"/>
  <c r="I76" i="19"/>
  <c r="I72" i="19"/>
  <c r="I68" i="19"/>
  <c r="I64" i="19"/>
  <c r="I60" i="19"/>
  <c r="I56" i="19"/>
  <c r="I52" i="19"/>
  <c r="I48" i="19"/>
  <c r="I44" i="19"/>
  <c r="I40" i="19"/>
  <c r="I36" i="19"/>
  <c r="I32" i="19"/>
  <c r="I28" i="19"/>
  <c r="H31" i="12"/>
  <c r="H39" i="12"/>
  <c r="H51" i="12"/>
  <c r="H35" i="12"/>
  <c r="H95" i="12"/>
  <c r="H99" i="12"/>
  <c r="H103" i="12"/>
  <c r="H107" i="12"/>
  <c r="H43" i="12"/>
  <c r="H47" i="12"/>
  <c r="H55" i="12"/>
  <c r="H63" i="12"/>
  <c r="H71" i="12"/>
  <c r="H79" i="12"/>
  <c r="H67" i="12"/>
  <c r="H91" i="12"/>
  <c r="H59" i="12"/>
  <c r="H75" i="12"/>
  <c r="H83" i="12"/>
  <c r="H87" i="12"/>
  <c r="F104" i="19"/>
  <c r="F100" i="19"/>
  <c r="F96" i="19"/>
  <c r="F84" i="19"/>
  <c r="F88" i="19"/>
  <c r="F92" i="19"/>
  <c r="F80" i="19"/>
  <c r="F76" i="19"/>
  <c r="F72" i="19"/>
  <c r="F68" i="19"/>
  <c r="F64" i="19"/>
  <c r="F60" i="19"/>
  <c r="F56" i="19"/>
  <c r="F52" i="19"/>
  <c r="F48" i="19"/>
  <c r="F44" i="19"/>
  <c r="F40" i="19"/>
  <c r="F36" i="19"/>
  <c r="F32" i="19"/>
  <c r="F28" i="19"/>
  <c r="K43" i="12"/>
  <c r="K47" i="12"/>
  <c r="K55" i="12"/>
  <c r="K63" i="12"/>
  <c r="K71" i="12"/>
  <c r="K31" i="12"/>
  <c r="K51" i="12"/>
  <c r="K59" i="12"/>
  <c r="K67" i="12"/>
  <c r="K75" i="12"/>
  <c r="K35" i="12"/>
  <c r="K91" i="12"/>
  <c r="K95" i="12"/>
  <c r="K103" i="12"/>
  <c r="K39" i="12"/>
  <c r="K99" i="12"/>
  <c r="K107" i="12"/>
  <c r="K83" i="12"/>
  <c r="K87" i="12"/>
  <c r="K79" i="12"/>
  <c r="K80" i="19"/>
  <c r="K76" i="19"/>
  <c r="K72" i="19"/>
  <c r="K68" i="19"/>
  <c r="K64" i="19"/>
  <c r="K60" i="19"/>
  <c r="K56" i="19"/>
  <c r="K52" i="19"/>
  <c r="K48" i="19"/>
  <c r="K44" i="19"/>
  <c r="K40" i="19"/>
  <c r="K36" i="19"/>
  <c r="K32" i="19"/>
  <c r="K28" i="19"/>
  <c r="K104" i="19"/>
  <c r="K100" i="19"/>
  <c r="K96" i="19"/>
  <c r="K92" i="19"/>
  <c r="K88" i="19"/>
  <c r="K84" i="19"/>
  <c r="M35" i="12"/>
  <c r="M107" i="12"/>
  <c r="M47" i="12"/>
  <c r="M55" i="12"/>
  <c r="M63" i="12"/>
  <c r="M71" i="12"/>
  <c r="M79" i="12"/>
  <c r="M99" i="12"/>
  <c r="M83" i="12"/>
  <c r="M87" i="12"/>
  <c r="M91" i="12"/>
  <c r="M59" i="12"/>
  <c r="M75" i="12"/>
  <c r="M67" i="12"/>
  <c r="M51" i="12"/>
  <c r="M103" i="12"/>
  <c r="M95" i="12"/>
  <c r="M43" i="12"/>
  <c r="M39" i="12"/>
  <c r="M31" i="12"/>
  <c r="L92" i="19"/>
  <c r="L28" i="19"/>
  <c r="L32" i="19"/>
  <c r="L36" i="19"/>
  <c r="L40" i="19"/>
  <c r="L44" i="19"/>
  <c r="L48" i="19"/>
  <c r="L52" i="19"/>
  <c r="L56" i="19"/>
  <c r="L60" i="19"/>
  <c r="L64" i="19"/>
  <c r="L68" i="19"/>
  <c r="L72" i="19"/>
  <c r="L76" i="19"/>
  <c r="L80" i="19"/>
  <c r="L104" i="19"/>
  <c r="L100" i="19"/>
  <c r="L96" i="19"/>
  <c r="L88" i="19"/>
  <c r="L84" i="19"/>
  <c r="L87" i="12"/>
  <c r="L91" i="12"/>
  <c r="L95" i="12"/>
  <c r="L99" i="12"/>
  <c r="L103" i="12"/>
  <c r="L107" i="12"/>
  <c r="L79" i="12"/>
  <c r="L67" i="12"/>
  <c r="L51" i="12"/>
  <c r="L75" i="12"/>
  <c r="L59" i="12"/>
  <c r="L83" i="12"/>
  <c r="L31" i="12"/>
  <c r="L71" i="12"/>
  <c r="L63" i="12"/>
  <c r="L55" i="12"/>
  <c r="L47" i="12"/>
  <c r="L39" i="12"/>
  <c r="L43" i="12"/>
  <c r="L35" i="12"/>
  <c r="M88" i="19"/>
  <c r="M100" i="19"/>
  <c r="M104" i="19"/>
  <c r="M84" i="19"/>
  <c r="M96" i="19"/>
  <c r="M92" i="19"/>
  <c r="M80" i="19"/>
  <c r="M76" i="19"/>
  <c r="M72" i="19"/>
  <c r="M68" i="19"/>
  <c r="M64" i="19"/>
  <c r="M60" i="19"/>
  <c r="M56" i="19"/>
  <c r="M52" i="19"/>
  <c r="M48" i="19"/>
  <c r="M44" i="19"/>
  <c r="M40" i="19"/>
  <c r="M36" i="19"/>
  <c r="M32" i="19"/>
  <c r="M28" i="19"/>
  <c r="M29" i="19" l="1"/>
  <c r="M33" i="19"/>
  <c r="M37" i="19"/>
  <c r="M41" i="19"/>
  <c r="M45" i="19"/>
  <c r="M49" i="19"/>
  <c r="M53" i="19"/>
  <c r="M57" i="19"/>
  <c r="M61" i="19"/>
  <c r="M65" i="19"/>
  <c r="M69" i="19"/>
  <c r="M73" i="19"/>
  <c r="M77" i="19"/>
  <c r="M81" i="19"/>
  <c r="M93" i="19"/>
  <c r="M97" i="19"/>
  <c r="M85" i="19"/>
  <c r="M101" i="19"/>
  <c r="M89" i="19"/>
  <c r="L36" i="12"/>
  <c r="L44" i="12"/>
  <c r="L40" i="12"/>
  <c r="L48" i="12"/>
  <c r="L56" i="12"/>
  <c r="L64" i="12"/>
  <c r="L72" i="12"/>
  <c r="L32" i="12"/>
  <c r="L84" i="12"/>
  <c r="L60" i="12"/>
  <c r="L76" i="12"/>
  <c r="L52" i="12"/>
  <c r="L68" i="12"/>
  <c r="L80" i="12"/>
  <c r="L104" i="12"/>
  <c r="L100" i="12"/>
  <c r="L96" i="12"/>
  <c r="L92" i="12"/>
  <c r="L88" i="12"/>
  <c r="L85" i="19"/>
  <c r="L89" i="19"/>
  <c r="L97" i="19"/>
  <c r="L101" i="19"/>
  <c r="L81" i="19"/>
  <c r="L77" i="19"/>
  <c r="L73" i="19"/>
  <c r="L69" i="19"/>
  <c r="L65" i="19"/>
  <c r="L61" i="19"/>
  <c r="L57" i="19"/>
  <c r="L53" i="19"/>
  <c r="L49" i="19"/>
  <c r="L45" i="19"/>
  <c r="L41" i="19"/>
  <c r="L37" i="19"/>
  <c r="L33" i="19"/>
  <c r="L29" i="19"/>
  <c r="L93" i="19"/>
  <c r="M32" i="12"/>
  <c r="M40" i="12"/>
  <c r="M44" i="12"/>
  <c r="M96" i="12"/>
  <c r="M104" i="12"/>
  <c r="M52" i="12"/>
  <c r="M68" i="12"/>
  <c r="M76" i="12"/>
  <c r="M60" i="12"/>
  <c r="M92" i="12"/>
  <c r="M88" i="12"/>
  <c r="M84" i="12"/>
  <c r="M100" i="12"/>
  <c r="M80" i="12"/>
  <c r="M72" i="12"/>
  <c r="M64" i="12"/>
  <c r="M56" i="12"/>
  <c r="M48" i="12"/>
  <c r="M36" i="12"/>
  <c r="K85" i="19"/>
  <c r="K89" i="19"/>
  <c r="K93" i="19"/>
  <c r="K97" i="19"/>
  <c r="K101" i="19"/>
  <c r="K29" i="19"/>
  <c r="K33" i="19"/>
  <c r="K37" i="19"/>
  <c r="K41" i="19"/>
  <c r="K45" i="19"/>
  <c r="K49" i="19"/>
  <c r="K53" i="19"/>
  <c r="K57" i="19"/>
  <c r="K61" i="19"/>
  <c r="K65" i="19"/>
  <c r="K69" i="19"/>
  <c r="K73" i="19"/>
  <c r="K77" i="19"/>
  <c r="K81" i="19"/>
  <c r="K80" i="12"/>
  <c r="K88" i="12"/>
  <c r="K84" i="12"/>
  <c r="K100" i="12"/>
  <c r="K40" i="12"/>
  <c r="K104" i="12"/>
  <c r="K96" i="12"/>
  <c r="K92" i="12"/>
  <c r="K36" i="12"/>
  <c r="K76" i="12"/>
  <c r="K68" i="12"/>
  <c r="K60" i="12"/>
  <c r="K52" i="12"/>
  <c r="K32" i="12"/>
  <c r="K72" i="12"/>
  <c r="K64" i="12"/>
  <c r="K56" i="12"/>
  <c r="K48" i="12"/>
  <c r="K44" i="12"/>
  <c r="F29" i="19"/>
  <c r="F33" i="19"/>
  <c r="F37" i="19"/>
  <c r="F41" i="19"/>
  <c r="F45" i="19"/>
  <c r="F49" i="19"/>
  <c r="F53" i="19"/>
  <c r="F57" i="19"/>
  <c r="F61" i="19"/>
  <c r="F65" i="19"/>
  <c r="F69" i="19"/>
  <c r="F73" i="19"/>
  <c r="F77" i="19"/>
  <c r="F81" i="19"/>
  <c r="F93" i="19"/>
  <c r="F89" i="19"/>
  <c r="F85" i="19"/>
  <c r="F97" i="19"/>
  <c r="F101" i="19"/>
  <c r="H88" i="12"/>
  <c r="H84" i="12"/>
  <c r="H76" i="12"/>
  <c r="H60" i="12"/>
  <c r="H92" i="12"/>
  <c r="H68" i="12"/>
  <c r="H80" i="12"/>
  <c r="H72" i="12"/>
  <c r="H64" i="12"/>
  <c r="H56" i="12"/>
  <c r="H48" i="12"/>
  <c r="H44" i="12"/>
  <c r="H104" i="12"/>
  <c r="H100" i="12"/>
  <c r="H96" i="12"/>
  <c r="H36" i="12"/>
  <c r="H52" i="12"/>
  <c r="H40" i="12"/>
  <c r="H32" i="12"/>
  <c r="I29" i="19"/>
  <c r="I33" i="19"/>
  <c r="I37" i="19"/>
  <c r="I41" i="19"/>
  <c r="I45" i="19"/>
  <c r="I49" i="19"/>
  <c r="I53" i="19"/>
  <c r="I57" i="19"/>
  <c r="I61" i="19"/>
  <c r="I65" i="19"/>
  <c r="I69" i="19"/>
  <c r="I73" i="19"/>
  <c r="I77" i="19"/>
  <c r="I81" i="19"/>
  <c r="I101" i="19"/>
  <c r="I97" i="19"/>
  <c r="I93" i="19"/>
  <c r="I89" i="19"/>
  <c r="I85" i="19"/>
  <c r="Q44" i="12"/>
  <c r="Q68" i="12"/>
  <c r="Q60" i="12"/>
  <c r="Q88" i="12"/>
  <c r="Q80" i="12"/>
  <c r="Q76" i="12"/>
  <c r="Q52" i="12"/>
  <c r="Q92" i="12"/>
  <c r="Q104" i="12"/>
  <c r="Q72" i="12"/>
  <c r="Q100" i="12"/>
  <c r="Q56" i="12"/>
  <c r="Q48" i="12"/>
  <c r="Q96" i="12"/>
  <c r="Q64" i="12"/>
  <c r="Q32" i="12"/>
  <c r="Q40" i="12"/>
  <c r="Q84" i="12"/>
  <c r="Q36" i="12"/>
  <c r="G29" i="19"/>
  <c r="G33" i="19"/>
  <c r="G37" i="19"/>
  <c r="G41" i="19"/>
  <c r="G45" i="19"/>
  <c r="G49" i="19"/>
  <c r="G53" i="19"/>
  <c r="G57" i="19"/>
  <c r="G61" i="19"/>
  <c r="G65" i="19"/>
  <c r="G69" i="19"/>
  <c r="G73" i="19"/>
  <c r="G77" i="19"/>
  <c r="G81" i="19"/>
  <c r="G101" i="19"/>
  <c r="G97" i="19"/>
  <c r="G93" i="19"/>
  <c r="G89" i="19"/>
  <c r="G85" i="19"/>
  <c r="J88" i="12"/>
  <c r="J92" i="12"/>
  <c r="J84" i="12"/>
  <c r="J96" i="12"/>
  <c r="J104" i="12"/>
  <c r="J100" i="12"/>
  <c r="J80" i="12"/>
  <c r="J76" i="12"/>
  <c r="J72" i="12"/>
  <c r="J68" i="12"/>
  <c r="J64" i="12"/>
  <c r="J60" i="12"/>
  <c r="J56" i="12"/>
  <c r="J52" i="12"/>
  <c r="J48" i="12"/>
  <c r="J44" i="12"/>
  <c r="J40" i="12"/>
  <c r="J36" i="12"/>
  <c r="J32" i="12"/>
  <c r="H29" i="19"/>
  <c r="H33" i="19"/>
  <c r="H37" i="19"/>
  <c r="H41" i="19"/>
  <c r="H45" i="19"/>
  <c r="H49" i="19"/>
  <c r="H53" i="19"/>
  <c r="H57" i="19"/>
  <c r="H61" i="19"/>
  <c r="H65" i="19"/>
  <c r="H69" i="19"/>
  <c r="H73" i="19"/>
  <c r="H77" i="19"/>
  <c r="H81" i="19"/>
  <c r="H89" i="19"/>
  <c r="H101" i="19"/>
  <c r="H93" i="19"/>
  <c r="H97" i="19"/>
  <c r="H85" i="19"/>
  <c r="E29" i="19"/>
  <c r="E33" i="19"/>
  <c r="E37" i="19"/>
  <c r="E41" i="19"/>
  <c r="E45" i="19"/>
  <c r="E49" i="19"/>
  <c r="E53" i="19"/>
  <c r="E57" i="19"/>
  <c r="E61" i="19"/>
  <c r="E65" i="19"/>
  <c r="E69" i="19"/>
  <c r="E73" i="19"/>
  <c r="E77" i="19"/>
  <c r="E81" i="19"/>
  <c r="E85" i="19"/>
  <c r="E97" i="19"/>
  <c r="E93" i="19"/>
  <c r="E101" i="19"/>
  <c r="E89" i="19"/>
  <c r="P85" i="19"/>
  <c r="P89" i="19"/>
  <c r="P93" i="19"/>
  <c r="P97" i="19"/>
  <c r="P101" i="19"/>
  <c r="P81" i="19"/>
  <c r="P77" i="19"/>
  <c r="P73" i="19"/>
  <c r="P69" i="19"/>
  <c r="P65" i="19"/>
  <c r="P61" i="19"/>
  <c r="P57" i="19"/>
  <c r="P53" i="19"/>
  <c r="P49" i="19"/>
  <c r="P45" i="19"/>
  <c r="P41" i="19"/>
  <c r="P37" i="19"/>
  <c r="P33" i="19"/>
  <c r="P29" i="19"/>
  <c r="F84" i="12"/>
  <c r="F88" i="12"/>
  <c r="F92" i="12"/>
  <c r="F104" i="12"/>
  <c r="F100" i="12"/>
  <c r="F96" i="12"/>
  <c r="F80" i="12"/>
  <c r="F76" i="12"/>
  <c r="F72" i="12"/>
  <c r="F68" i="12"/>
  <c r="F64" i="12"/>
  <c r="F60" i="12"/>
  <c r="F56" i="12"/>
  <c r="F52" i="12"/>
  <c r="F48" i="12"/>
  <c r="F44" i="12"/>
  <c r="F40" i="12"/>
  <c r="F36" i="12"/>
  <c r="F32" i="12"/>
  <c r="R92" i="12"/>
  <c r="R84" i="12"/>
  <c r="R100" i="12"/>
  <c r="R96" i="12"/>
  <c r="R104" i="12"/>
  <c r="R88" i="12"/>
  <c r="R80" i="12"/>
  <c r="R76" i="12"/>
  <c r="R72" i="12"/>
  <c r="R68" i="12"/>
  <c r="R64" i="12"/>
  <c r="R60" i="12"/>
  <c r="R56" i="12"/>
  <c r="R52" i="12"/>
  <c r="R48" i="12"/>
  <c r="R44" i="12"/>
  <c r="R40" i="12"/>
  <c r="R36" i="12"/>
  <c r="R32" i="12"/>
  <c r="P64" i="12"/>
  <c r="P92" i="12"/>
  <c r="P72" i="12"/>
  <c r="P80" i="12"/>
  <c r="P56" i="12"/>
  <c r="P76" i="12"/>
  <c r="P68" i="12"/>
  <c r="P60" i="12"/>
  <c r="P52" i="12"/>
  <c r="P104" i="12"/>
  <c r="P100" i="12"/>
  <c r="P96" i="12"/>
  <c r="P40" i="12"/>
  <c r="P32" i="12"/>
  <c r="P88" i="12"/>
  <c r="P44" i="12"/>
  <c r="P48" i="12"/>
  <c r="P84" i="12"/>
  <c r="P36" i="12"/>
  <c r="R29" i="19"/>
  <c r="R33" i="19"/>
  <c r="R37" i="19"/>
  <c r="R41" i="19"/>
  <c r="R45" i="19"/>
  <c r="R49" i="19"/>
  <c r="R53" i="19"/>
  <c r="R57" i="19"/>
  <c r="R61" i="19"/>
  <c r="R65" i="19"/>
  <c r="R69" i="19"/>
  <c r="R73" i="19"/>
  <c r="R77" i="19"/>
  <c r="R81" i="19"/>
  <c r="R89" i="19"/>
  <c r="R85" i="19"/>
  <c r="R93" i="19"/>
  <c r="R97" i="19"/>
  <c r="R101" i="19"/>
  <c r="N29" i="19"/>
  <c r="N33" i="19"/>
  <c r="N37" i="19"/>
  <c r="N41" i="19"/>
  <c r="N45" i="19"/>
  <c r="N49" i="19"/>
  <c r="N53" i="19"/>
  <c r="N57" i="19"/>
  <c r="N61" i="19"/>
  <c r="N65" i="19"/>
  <c r="N69" i="19"/>
  <c r="N73" i="19"/>
  <c r="N77" i="19"/>
  <c r="N81" i="19"/>
  <c r="N101" i="19"/>
  <c r="N93" i="19"/>
  <c r="N97" i="19"/>
  <c r="N89" i="19"/>
  <c r="N85" i="19"/>
  <c r="S85" i="19"/>
  <c r="S89" i="19"/>
  <c r="S93" i="19"/>
  <c r="S97" i="19"/>
  <c r="S101" i="19"/>
  <c r="S81" i="19"/>
  <c r="S77" i="19"/>
  <c r="S73" i="19"/>
  <c r="S69" i="19"/>
  <c r="S65" i="19"/>
  <c r="S61" i="19"/>
  <c r="S57" i="19"/>
  <c r="S53" i="19"/>
  <c r="S49" i="19"/>
  <c r="S45" i="19"/>
  <c r="S41" i="19"/>
  <c r="S37" i="19"/>
  <c r="S33" i="19"/>
  <c r="S29" i="19"/>
  <c r="I80" i="12"/>
  <c r="I92" i="12"/>
  <c r="I72" i="12"/>
  <c r="I88" i="12"/>
  <c r="I64" i="12"/>
  <c r="I48" i="12"/>
  <c r="I84" i="12"/>
  <c r="I56" i="12"/>
  <c r="I76" i="12"/>
  <c r="I100" i="12"/>
  <c r="I96" i="12"/>
  <c r="I60" i="12"/>
  <c r="I104" i="12"/>
  <c r="I68" i="12"/>
  <c r="I52" i="12"/>
  <c r="I36" i="12"/>
  <c r="I40" i="12"/>
  <c r="I32" i="12"/>
  <c r="I44" i="12"/>
  <c r="Q29" i="19"/>
  <c r="Q33" i="19"/>
  <c r="Q37" i="19"/>
  <c r="Q41" i="19"/>
  <c r="Q45" i="19"/>
  <c r="Q49" i="19"/>
  <c r="Q53" i="19"/>
  <c r="Q57" i="19"/>
  <c r="Q61" i="19"/>
  <c r="Q65" i="19"/>
  <c r="Q69" i="19"/>
  <c r="Q73" i="19"/>
  <c r="Q77" i="19"/>
  <c r="Q81" i="19"/>
  <c r="Q93" i="19"/>
  <c r="Q97" i="19"/>
  <c r="Q85" i="19"/>
  <c r="Q89" i="19"/>
  <c r="Q101" i="19"/>
  <c r="J29" i="19"/>
  <c r="J33" i="19"/>
  <c r="J37" i="19"/>
  <c r="J41" i="19"/>
  <c r="J45" i="19"/>
  <c r="J49" i="19"/>
  <c r="J53" i="19"/>
  <c r="J57" i="19"/>
  <c r="J61" i="19"/>
  <c r="J65" i="19"/>
  <c r="J69" i="19"/>
  <c r="J73" i="19"/>
  <c r="J77" i="19"/>
  <c r="J81" i="19"/>
  <c r="J101" i="19"/>
  <c r="J97" i="19"/>
  <c r="J85" i="19"/>
  <c r="J89" i="19"/>
  <c r="J93" i="19"/>
  <c r="O29" i="19"/>
  <c r="O33" i="19"/>
  <c r="O37" i="19"/>
  <c r="O41" i="19"/>
  <c r="O45" i="19"/>
  <c r="O49" i="19"/>
  <c r="O53" i="19"/>
  <c r="O57" i="19"/>
  <c r="O61" i="19"/>
  <c r="O65" i="19"/>
  <c r="O69" i="19"/>
  <c r="O73" i="19"/>
  <c r="O77" i="19"/>
  <c r="O81" i="19"/>
  <c r="O101" i="19"/>
  <c r="O93" i="19"/>
  <c r="O97" i="19"/>
  <c r="O89" i="19"/>
  <c r="O85" i="19"/>
  <c r="G36" i="12"/>
  <c r="G32" i="12"/>
  <c r="G44" i="12"/>
  <c r="G40" i="12"/>
  <c r="G92" i="12"/>
  <c r="G104" i="12"/>
  <c r="G100" i="12"/>
  <c r="G96" i="12"/>
  <c r="G88" i="12"/>
  <c r="G84" i="12"/>
  <c r="G80" i="12"/>
  <c r="G76" i="12"/>
  <c r="G72" i="12"/>
  <c r="G68" i="12"/>
  <c r="G64" i="12"/>
  <c r="G60" i="12"/>
  <c r="G56" i="12"/>
  <c r="G52" i="12"/>
  <c r="G48" i="12"/>
  <c r="T97" i="19"/>
  <c r="T85" i="19"/>
  <c r="T93" i="19"/>
  <c r="T101" i="19"/>
  <c r="T29" i="19"/>
  <c r="T41" i="19"/>
  <c r="T57" i="19"/>
  <c r="T73" i="19"/>
  <c r="T37" i="19"/>
  <c r="T53" i="19"/>
  <c r="T69" i="19"/>
  <c r="T81" i="19"/>
  <c r="T65" i="19"/>
  <c r="T49" i="19"/>
  <c r="T33" i="19"/>
  <c r="T77" i="19"/>
  <c r="T61" i="19"/>
  <c r="T45" i="19"/>
  <c r="T89" i="19"/>
  <c r="N92" i="12"/>
  <c r="N84" i="12"/>
  <c r="N100" i="12"/>
  <c r="N96" i="12"/>
  <c r="N104" i="12"/>
  <c r="N88" i="12"/>
  <c r="N80" i="12"/>
  <c r="N76" i="12"/>
  <c r="N72" i="12"/>
  <c r="N68" i="12"/>
  <c r="N64" i="12"/>
  <c r="N60" i="12"/>
  <c r="N56" i="12"/>
  <c r="N52" i="12"/>
  <c r="N48" i="12"/>
  <c r="N44" i="12"/>
  <c r="N40" i="12"/>
  <c r="N36" i="12"/>
  <c r="N32" i="12"/>
  <c r="E36" i="12"/>
  <c r="E100" i="12"/>
  <c r="E48" i="12"/>
  <c r="E40" i="12"/>
  <c r="E56" i="12"/>
  <c r="E96" i="12"/>
  <c r="E64" i="12"/>
  <c r="E72" i="12"/>
  <c r="E80" i="12"/>
  <c r="E88" i="12"/>
  <c r="E104" i="12"/>
  <c r="E76" i="12"/>
  <c r="E68" i="12"/>
  <c r="E60" i="12"/>
  <c r="E52" i="12"/>
  <c r="E92" i="12"/>
  <c r="E84" i="12"/>
  <c r="E44" i="12"/>
  <c r="E32" i="12"/>
  <c r="H4" i="17"/>
  <c r="D4" i="17"/>
  <c r="L4" i="17"/>
  <c r="F4" i="17"/>
  <c r="E4" i="17"/>
  <c r="R4" i="17"/>
  <c r="P4" i="17"/>
  <c r="K4" i="17"/>
  <c r="G4" i="17"/>
  <c r="Q4" i="17"/>
  <c r="J4" i="17"/>
  <c r="O4" i="17"/>
  <c r="M4" i="17"/>
  <c r="I4" i="17"/>
  <c r="N4" i="17"/>
  <c r="J4" i="12"/>
  <c r="J4" i="7"/>
  <c r="J4" i="19"/>
  <c r="O4" i="12"/>
  <c r="O4" i="7"/>
  <c r="O4" i="19"/>
  <c r="I4" i="12"/>
  <c r="I4" i="7"/>
  <c r="I4" i="19"/>
  <c r="N4" i="7"/>
  <c r="N4" i="19"/>
  <c r="N4" i="12"/>
  <c r="H4" i="12"/>
  <c r="H4" i="19"/>
  <c r="H4" i="7"/>
  <c r="T4" i="19"/>
  <c r="M4" i="12"/>
  <c r="M4" i="19"/>
  <c r="M4" i="7"/>
  <c r="G4" i="7"/>
  <c r="G4" i="19"/>
  <c r="G4" i="12"/>
  <c r="S4" i="19"/>
  <c r="L4" i="19"/>
  <c r="L4" i="12"/>
  <c r="L4" i="7"/>
  <c r="F4" i="19"/>
  <c r="F4" i="7"/>
  <c r="F4" i="12"/>
  <c r="R4" i="12"/>
  <c r="R4" i="7"/>
  <c r="R4" i="19"/>
  <c r="E4" i="19"/>
  <c r="E4" i="12"/>
  <c r="E4" i="7"/>
  <c r="Q4" i="19"/>
  <c r="Q4" i="12"/>
  <c r="Q4" i="7"/>
  <c r="D4" i="19"/>
  <c r="D4" i="12"/>
  <c r="D4" i="7"/>
  <c r="P4" i="12"/>
  <c r="P4" i="7"/>
  <c r="P4" i="19"/>
  <c r="K4" i="19"/>
  <c r="K4" i="12"/>
  <c r="K4" i="7"/>
  <c r="S34" i="26"/>
  <c r="S29" i="26"/>
  <c r="S17" i="26"/>
  <c r="S7" i="26"/>
  <c r="J10" i="7"/>
  <c r="P65" i="17"/>
  <c r="N34" i="7"/>
  <c r="N54" i="7"/>
  <c r="O41" i="17"/>
  <c r="O78" i="7"/>
  <c r="E12" i="12"/>
  <c r="E94" i="7"/>
  <c r="L78" i="7"/>
  <c r="J38" i="7"/>
  <c r="D66" i="19"/>
  <c r="P54" i="7"/>
  <c r="E102" i="7"/>
  <c r="L54" i="7"/>
  <c r="L26" i="7"/>
  <c r="H85" i="17"/>
  <c r="N12" i="12"/>
  <c r="E10" i="19"/>
  <c r="M98" i="7"/>
  <c r="K57" i="17"/>
  <c r="R33" i="17"/>
  <c r="G7" i="12"/>
  <c r="R69" i="17"/>
  <c r="E26" i="7"/>
  <c r="L42" i="7"/>
  <c r="E62" i="7"/>
  <c r="E46" i="7"/>
  <c r="F10" i="7"/>
  <c r="F90" i="7"/>
  <c r="O46" i="7"/>
  <c r="O74" i="7"/>
  <c r="H69" i="17"/>
  <c r="Q82" i="7"/>
  <c r="G69" i="17"/>
  <c r="F73" i="17"/>
  <c r="J70" i="7"/>
  <c r="L7" i="12"/>
  <c r="E33" i="17"/>
  <c r="J30" i="7"/>
  <c r="P77" i="17"/>
  <c r="J62" i="7"/>
  <c r="I98" i="7"/>
  <c r="I34" i="7"/>
  <c r="L62" i="7"/>
  <c r="L46" i="7"/>
  <c r="S85" i="26"/>
  <c r="H77" i="17"/>
  <c r="F10" i="19"/>
  <c r="I102" i="7"/>
  <c r="N10" i="19"/>
  <c r="D62" i="7"/>
  <c r="Q70" i="7"/>
  <c r="G90" i="7"/>
  <c r="K66" i="7"/>
  <c r="K30" i="7"/>
  <c r="D90" i="19"/>
  <c r="G45" i="17"/>
  <c r="L82" i="7"/>
  <c r="G70" i="7"/>
  <c r="P105" i="17"/>
  <c r="N46" i="7"/>
  <c r="M70" i="7"/>
  <c r="O85" i="17"/>
  <c r="M58" i="7"/>
  <c r="O69" i="17"/>
  <c r="F37" i="17"/>
  <c r="E82" i="7"/>
  <c r="D29" i="17"/>
  <c r="P73" i="17"/>
  <c r="E42" i="7"/>
  <c r="J10" i="19"/>
  <c r="H101" i="17"/>
  <c r="I89" i="17"/>
  <c r="K102" i="7"/>
  <c r="F30" i="7"/>
  <c r="G94" i="7"/>
  <c r="E57" i="17"/>
  <c r="P69" i="17"/>
  <c r="F85" i="17"/>
  <c r="L85" i="17"/>
  <c r="L86" i="7"/>
  <c r="J4" i="11"/>
  <c r="D73" i="17"/>
  <c r="N30" i="7"/>
  <c r="I65" i="17"/>
  <c r="K62" i="7"/>
  <c r="M62" i="7"/>
  <c r="H61" i="17"/>
  <c r="R86" i="7"/>
  <c r="D53" i="17"/>
  <c r="O65" i="17"/>
  <c r="O53" i="17"/>
  <c r="K73" i="17"/>
  <c r="K85" i="17"/>
  <c r="F77" i="17"/>
  <c r="M26" i="7"/>
  <c r="I46" i="7"/>
  <c r="J29" i="17"/>
  <c r="J61" i="17"/>
  <c r="P7" i="17"/>
  <c r="P101" i="17"/>
  <c r="P10" i="7"/>
  <c r="I45" i="17"/>
  <c r="K78" i="7"/>
  <c r="Q10" i="19"/>
  <c r="O81" i="17"/>
  <c r="O62" i="7"/>
  <c r="N82" i="7"/>
  <c r="J7" i="12"/>
  <c r="K105" i="17"/>
  <c r="D45" i="12"/>
  <c r="D7" i="12"/>
  <c r="K101" i="17"/>
  <c r="N4" i="11"/>
  <c r="O98" i="7"/>
  <c r="D93" i="17"/>
  <c r="O34" i="7"/>
  <c r="E50" i="7"/>
  <c r="G58" i="7"/>
  <c r="F101" i="17"/>
  <c r="F34" i="7"/>
  <c r="F78" i="7"/>
  <c r="O82" i="7"/>
  <c r="H12" i="17"/>
  <c r="H90" i="7"/>
  <c r="J89" i="17"/>
  <c r="N50" i="7"/>
  <c r="N86" i="7"/>
  <c r="N78" i="7"/>
  <c r="P81" i="17"/>
  <c r="K65" i="17"/>
  <c r="O29" i="17"/>
  <c r="Q4" i="11"/>
  <c r="Q46" i="7"/>
  <c r="H74" i="7"/>
  <c r="M61" i="17"/>
  <c r="J53" i="17"/>
  <c r="P62" i="7"/>
  <c r="P66" i="7"/>
  <c r="J105" i="17"/>
  <c r="G54" i="7"/>
  <c r="O61" i="17"/>
  <c r="O73" i="17"/>
  <c r="O97" i="17"/>
  <c r="K93" i="17"/>
  <c r="K33" i="17"/>
  <c r="D62" i="19"/>
  <c r="N49" i="17"/>
  <c r="O77" i="17"/>
  <c r="R89" i="17"/>
  <c r="L74" i="7"/>
  <c r="E90" i="7"/>
  <c r="G77" i="17"/>
  <c r="J41" i="17"/>
  <c r="M57" i="17"/>
  <c r="M37" i="17"/>
  <c r="O7" i="17"/>
  <c r="J77" i="17"/>
  <c r="J93" i="17"/>
  <c r="D26" i="19"/>
  <c r="S99" i="26"/>
  <c r="K86" i="7"/>
  <c r="G53" i="17"/>
  <c r="E93" i="17"/>
  <c r="M86" i="7"/>
  <c r="P49" i="17"/>
  <c r="Q26" i="7"/>
  <c r="I85" i="17"/>
  <c r="I57" i="17"/>
  <c r="I90" i="7"/>
  <c r="M41" i="17"/>
  <c r="P85" i="17"/>
  <c r="M78" i="7"/>
  <c r="O57" i="17"/>
  <c r="O89" i="17"/>
  <c r="F69" i="17"/>
  <c r="L89" i="17"/>
  <c r="I50" i="7"/>
  <c r="G86" i="7"/>
  <c r="H33" i="17"/>
  <c r="J49" i="17"/>
  <c r="H4" i="11"/>
  <c r="K12" i="17"/>
  <c r="M74" i="7"/>
  <c r="K77" i="17"/>
  <c r="I78" i="7"/>
  <c r="Q66" i="7"/>
  <c r="J90" i="7"/>
  <c r="K7" i="12"/>
  <c r="I82" i="7"/>
  <c r="H53" i="17"/>
  <c r="J82" i="7"/>
  <c r="D57" i="12"/>
  <c r="P57" i="17"/>
  <c r="F4" i="11"/>
  <c r="D30" i="19"/>
  <c r="O37" i="17"/>
  <c r="N102" i="7"/>
  <c r="H93" i="17"/>
  <c r="Q65" i="17"/>
  <c r="E98" i="7"/>
  <c r="E10" i="7"/>
  <c r="H34" i="7"/>
  <c r="Q37" i="17"/>
  <c r="D78" i="19"/>
  <c r="G61" i="17"/>
  <c r="I29" i="17"/>
  <c r="N93" i="17"/>
  <c r="M89" i="17"/>
  <c r="M85" i="17"/>
  <c r="M77" i="17"/>
  <c r="I7" i="17"/>
  <c r="M69" i="17"/>
  <c r="S41" i="26"/>
  <c r="F26" i="7"/>
  <c r="F70" i="7"/>
  <c r="E89" i="17"/>
  <c r="F89" i="17"/>
  <c r="F61" i="17"/>
  <c r="D102" i="19"/>
  <c r="P4" i="11"/>
  <c r="O90" i="7"/>
  <c r="F42" i="7"/>
  <c r="O30" i="7"/>
  <c r="M53" i="17"/>
  <c r="D98" i="19"/>
  <c r="H38" i="7"/>
  <c r="L4" i="11"/>
  <c r="K61" i="17"/>
  <c r="I10" i="7"/>
  <c r="P45" i="17"/>
  <c r="F86" i="7"/>
  <c r="Q7" i="12"/>
  <c r="Q101" i="17"/>
  <c r="L69" i="17"/>
  <c r="L49" i="17"/>
  <c r="I10" i="19"/>
  <c r="F81" i="17"/>
  <c r="D74" i="7"/>
  <c r="I66" i="7"/>
  <c r="O10" i="19"/>
  <c r="K98" i="7"/>
  <c r="N77" i="17"/>
  <c r="D102" i="7"/>
  <c r="K74" i="7"/>
  <c r="D12" i="17"/>
  <c r="D37" i="17"/>
  <c r="I49" i="17"/>
  <c r="J85" i="17"/>
  <c r="L12" i="17"/>
  <c r="R41" i="17"/>
  <c r="S73" i="26"/>
  <c r="S50" i="26"/>
  <c r="O33" i="17"/>
  <c r="J12" i="12"/>
  <c r="M82" i="7"/>
  <c r="Q50" i="7"/>
  <c r="N37" i="17"/>
  <c r="F62" i="7"/>
  <c r="G41" i="17"/>
  <c r="M34" i="7"/>
  <c r="G38" i="7"/>
  <c r="R46" i="7"/>
  <c r="H57" i="17"/>
  <c r="O4" i="11"/>
  <c r="E77" i="17"/>
  <c r="J65" i="17"/>
  <c r="S106" i="26"/>
  <c r="I33" i="17"/>
  <c r="I73" i="17"/>
  <c r="K42" i="7"/>
  <c r="P90" i="7"/>
  <c r="Q86" i="7"/>
  <c r="Q62" i="7"/>
  <c r="J50" i="7"/>
  <c r="G10" i="7"/>
  <c r="I53" i="17"/>
  <c r="I12" i="12"/>
  <c r="D77" i="17"/>
  <c r="M90" i="7"/>
  <c r="S112" i="26"/>
  <c r="Q89" i="17"/>
  <c r="E34" i="7"/>
  <c r="D65" i="12"/>
  <c r="I94" i="7"/>
  <c r="F7" i="17"/>
  <c r="F41" i="17"/>
  <c r="H46" i="7"/>
  <c r="I12" i="17"/>
  <c r="N38" i="7"/>
  <c r="P94" i="7"/>
  <c r="M49" i="17"/>
  <c r="D41" i="17"/>
  <c r="S124" i="26"/>
  <c r="Q38" i="7"/>
  <c r="R81" i="17"/>
  <c r="D69" i="17"/>
  <c r="O45" i="17"/>
  <c r="D50" i="7"/>
  <c r="F98" i="7"/>
  <c r="O26" i="7"/>
  <c r="D105" i="17"/>
  <c r="I26" i="7"/>
  <c r="I93" i="17"/>
  <c r="F57" i="17"/>
  <c r="H58" i="7"/>
  <c r="D30" i="7"/>
  <c r="I81" i="17"/>
  <c r="K46" i="7"/>
  <c r="Q85" i="17"/>
  <c r="S65" i="26"/>
  <c r="K53" i="17"/>
  <c r="G50" i="7"/>
  <c r="D94" i="19"/>
  <c r="E66" i="7"/>
  <c r="E81" i="17"/>
  <c r="I30" i="7"/>
  <c r="L61" i="17"/>
  <c r="H98" i="7"/>
  <c r="D98" i="7"/>
  <c r="M93" i="17"/>
  <c r="I4" i="11"/>
  <c r="E54" i="7"/>
  <c r="R74" i="7"/>
  <c r="G26" i="7"/>
  <c r="J37" i="17"/>
  <c r="O54" i="7"/>
  <c r="F7" i="12"/>
  <c r="D97" i="17"/>
  <c r="O94" i="7"/>
  <c r="R26" i="7"/>
  <c r="R101" i="17"/>
  <c r="H65" i="17"/>
  <c r="R53" i="17"/>
  <c r="R65" i="17"/>
  <c r="R93" i="17"/>
  <c r="H89" i="17"/>
  <c r="M94" i="7"/>
  <c r="M10" i="7"/>
  <c r="D85" i="17"/>
  <c r="Q77" i="17"/>
  <c r="P70" i="7"/>
  <c r="M102" i="7"/>
  <c r="L93" i="17"/>
  <c r="I105" i="17"/>
  <c r="D54" i="19"/>
  <c r="H7" i="12"/>
  <c r="O38" i="7"/>
  <c r="E7" i="12"/>
  <c r="Q34" i="7"/>
  <c r="F12" i="12"/>
  <c r="J42" i="7"/>
  <c r="R7" i="12"/>
  <c r="I70" i="7"/>
  <c r="R62" i="7"/>
  <c r="D10" i="19"/>
  <c r="Q45" i="17"/>
  <c r="G101" i="17"/>
  <c r="D101" i="17"/>
  <c r="N42" i="7"/>
  <c r="D4" i="11"/>
  <c r="L97" i="17"/>
  <c r="R50" i="7"/>
  <c r="K7" i="17"/>
  <c r="P41" i="17"/>
  <c r="E58" i="7"/>
  <c r="K54" i="7"/>
  <c r="K38" i="7"/>
  <c r="E78" i="7"/>
  <c r="F97" i="17"/>
  <c r="F58" i="7"/>
  <c r="D94" i="7"/>
  <c r="E70" i="7"/>
  <c r="K90" i="7"/>
  <c r="E30" i="7"/>
  <c r="E45" i="17"/>
  <c r="F65" i="17"/>
  <c r="I37" i="17"/>
  <c r="G4" i="11"/>
  <c r="M4" i="11"/>
  <c r="F66" i="7"/>
  <c r="F94" i="7"/>
  <c r="H49" i="17"/>
  <c r="Q98" i="7"/>
  <c r="R78" i="7"/>
  <c r="N53" i="17"/>
  <c r="I54" i="7"/>
  <c r="R49" i="17"/>
  <c r="E53" i="17"/>
  <c r="D65" i="17"/>
  <c r="E86" i="7"/>
  <c r="M97" i="17"/>
  <c r="G57" i="17"/>
  <c r="L33" i="17"/>
  <c r="E4" i="11"/>
  <c r="E38" i="7"/>
  <c r="F54" i="7"/>
  <c r="R45" i="17"/>
  <c r="D61" i="17"/>
  <c r="D105" i="12"/>
  <c r="I42" i="7"/>
  <c r="I77" i="17"/>
  <c r="D97" i="12"/>
  <c r="J101" i="17"/>
  <c r="N26" i="7"/>
  <c r="S10" i="19"/>
  <c r="G29" i="17"/>
  <c r="J69" i="17"/>
  <c r="L10" i="7"/>
  <c r="R10" i="7"/>
  <c r="G33" i="17"/>
  <c r="P26" i="7"/>
  <c r="D49" i="12"/>
  <c r="M50" i="7"/>
  <c r="J98" i="7"/>
  <c r="L7" i="17"/>
  <c r="H50" i="7"/>
  <c r="O105" i="17"/>
  <c r="G74" i="7"/>
  <c r="N7" i="17"/>
  <c r="F49" i="17"/>
  <c r="H7" i="17"/>
  <c r="P93" i="17"/>
  <c r="F53" i="17"/>
  <c r="O86" i="7"/>
  <c r="P78" i="7"/>
  <c r="O101" i="17"/>
  <c r="R4" i="11"/>
  <c r="M73" i="17"/>
  <c r="P30" i="7"/>
  <c r="D61" i="12"/>
  <c r="J78" i="7"/>
  <c r="G97" i="17"/>
  <c r="N62" i="7"/>
  <c r="E61" i="17"/>
  <c r="G34" i="7"/>
  <c r="Q30" i="7"/>
  <c r="L102" i="7"/>
  <c r="K29" i="17"/>
  <c r="Q12" i="12"/>
  <c r="Q93" i="17"/>
  <c r="E105" i="17"/>
  <c r="M42" i="7"/>
  <c r="Q61" i="17"/>
  <c r="H94" i="7"/>
  <c r="D86" i="19"/>
  <c r="G98" i="7"/>
  <c r="P34" i="7"/>
  <c r="R102" i="7"/>
  <c r="D73" i="12"/>
  <c r="N90" i="7"/>
  <c r="Q102" i="7"/>
  <c r="L41" i="17"/>
  <c r="D89" i="12"/>
  <c r="G10" i="19"/>
  <c r="S93" i="26"/>
  <c r="L70" i="7"/>
  <c r="Q7" i="17"/>
  <c r="Q57" i="17"/>
  <c r="H102" i="7"/>
  <c r="Q41" i="17"/>
  <c r="N73" i="17"/>
  <c r="D86" i="7"/>
  <c r="M7" i="12"/>
  <c r="N61" i="17"/>
  <c r="R7" i="17"/>
  <c r="L12" i="12"/>
  <c r="P12" i="17"/>
  <c r="N81" i="17"/>
  <c r="K81" i="17"/>
  <c r="R12" i="17"/>
  <c r="K10" i="19"/>
  <c r="L73" i="17"/>
  <c r="O42" i="7"/>
  <c r="H66" i="7"/>
  <c r="F74" i="7"/>
  <c r="D34" i="7"/>
  <c r="N98" i="7"/>
  <c r="J12" i="17"/>
  <c r="N57" i="17"/>
  <c r="R105" i="17"/>
  <c r="R73" i="17"/>
  <c r="L38" i="7"/>
  <c r="N41" i="17"/>
  <c r="P97" i="17"/>
  <c r="M38" i="7"/>
  <c r="D33" i="12"/>
  <c r="P46" i="7"/>
  <c r="R57" i="17"/>
  <c r="I41" i="17"/>
  <c r="H86" i="7"/>
  <c r="D41" i="12"/>
  <c r="I97" i="17"/>
  <c r="S56" i="26"/>
  <c r="D90" i="7"/>
  <c r="G102" i="7"/>
  <c r="D49" i="17"/>
  <c r="D93" i="12"/>
  <c r="O93" i="17"/>
  <c r="Q74" i="7"/>
  <c r="R38" i="7"/>
  <c r="O58" i="7"/>
  <c r="D42" i="19"/>
  <c r="I61" i="17"/>
  <c r="G85" i="17"/>
  <c r="P10" i="19"/>
  <c r="G62" i="7"/>
  <c r="Q97" i="17"/>
  <c r="L101" i="17"/>
  <c r="D89" i="17"/>
  <c r="J102" i="7"/>
  <c r="E29" i="17"/>
  <c r="E101" i="17"/>
  <c r="E85" i="17"/>
  <c r="J26" i="7"/>
  <c r="H81" i="17"/>
  <c r="N10" i="7"/>
  <c r="E41" i="17"/>
  <c r="R66" i="7"/>
  <c r="O70" i="7"/>
  <c r="L77" i="17"/>
  <c r="R29" i="17"/>
  <c r="L30" i="7"/>
  <c r="O7" i="12"/>
  <c r="J94" i="7"/>
  <c r="J7" i="17"/>
  <c r="Q54" i="7"/>
  <c r="E74" i="7"/>
  <c r="D53" i="12"/>
  <c r="N70" i="7"/>
  <c r="Q42" i="7"/>
  <c r="O66" i="7"/>
  <c r="P53" i="17"/>
  <c r="D7" i="17"/>
  <c r="H105" i="17"/>
  <c r="L29" i="17"/>
  <c r="E97" i="17"/>
  <c r="P58" i="7"/>
  <c r="M105" i="17"/>
  <c r="N29" i="17"/>
  <c r="F82" i="7"/>
  <c r="D37" i="12"/>
  <c r="D12" i="12"/>
  <c r="Q10" i="7"/>
  <c r="Q33" i="17"/>
  <c r="L65" i="17"/>
  <c r="M66" i="7"/>
  <c r="K49" i="17"/>
  <c r="H70" i="7"/>
  <c r="G93" i="17"/>
  <c r="K10" i="7"/>
  <c r="P89" i="17"/>
  <c r="R77" i="17"/>
  <c r="I58" i="7"/>
  <c r="R30" i="7"/>
  <c r="D78" i="7"/>
  <c r="N33" i="17"/>
  <c r="K50" i="7"/>
  <c r="Q94" i="7"/>
  <c r="Q49" i="17"/>
  <c r="L81" i="17"/>
  <c r="H73" i="17"/>
  <c r="R54" i="7"/>
  <c r="I86" i="7"/>
  <c r="D34" i="19"/>
  <c r="K58" i="7"/>
  <c r="R97" i="17"/>
  <c r="G7" i="17"/>
  <c r="L66" i="7"/>
  <c r="L50" i="7"/>
  <c r="P37" i="17"/>
  <c r="R12" i="12"/>
  <c r="O10" i="7"/>
  <c r="O49" i="17"/>
  <c r="D66" i="7"/>
  <c r="G12" i="12"/>
  <c r="J81" i="17"/>
  <c r="I74" i="7"/>
  <c r="N66" i="7"/>
  <c r="P33" i="17"/>
  <c r="E37" i="17"/>
  <c r="L94" i="7"/>
  <c r="K4" i="11"/>
  <c r="J33" i="17"/>
  <c r="F38" i="7"/>
  <c r="E69" i="17"/>
  <c r="I38" i="7"/>
  <c r="L58" i="7"/>
  <c r="H82" i="7"/>
  <c r="D50" i="19"/>
  <c r="G12" i="17"/>
  <c r="G73" i="17"/>
  <c r="M12" i="12"/>
  <c r="H30" i="7"/>
  <c r="E49" i="17"/>
  <c r="L98" i="7"/>
  <c r="E12" i="17"/>
  <c r="D57" i="17"/>
  <c r="G105" i="17"/>
  <c r="D46" i="7"/>
  <c r="R90" i="7"/>
  <c r="P74" i="7"/>
  <c r="D74" i="19"/>
  <c r="Q105" i="17"/>
  <c r="Q78" i="7"/>
  <c r="N45" i="17"/>
  <c r="F93" i="17"/>
  <c r="H62" i="7"/>
  <c r="D38" i="7"/>
  <c r="D45" i="17"/>
  <c r="Q58" i="7"/>
  <c r="G66" i="7"/>
  <c r="K70" i="7"/>
  <c r="H97" i="17"/>
  <c r="L90" i="7"/>
  <c r="I62" i="7"/>
  <c r="F102" i="7"/>
  <c r="K89" i="17"/>
  <c r="G30" i="7"/>
  <c r="M12" i="17"/>
  <c r="J34" i="7"/>
  <c r="D46" i="19"/>
  <c r="R70" i="7"/>
  <c r="M46" i="7"/>
  <c r="R85" i="17"/>
  <c r="O12" i="12"/>
  <c r="F50" i="7"/>
  <c r="H54" i="7"/>
  <c r="D10" i="7"/>
  <c r="D29" i="12"/>
  <c r="P38" i="7"/>
  <c r="N74" i="7"/>
  <c r="M45" i="17"/>
  <c r="E73" i="17"/>
  <c r="D42" i="7"/>
  <c r="M33" i="17"/>
  <c r="H29" i="17"/>
  <c r="H26" i="7"/>
  <c r="O50" i="7"/>
  <c r="J54" i="7"/>
  <c r="F46" i="7"/>
  <c r="M54" i="7"/>
  <c r="G89" i="17"/>
  <c r="F29" i="17"/>
  <c r="P7" i="12"/>
  <c r="F12" i="17"/>
  <c r="H78" i="7"/>
  <c r="P29" i="17"/>
  <c r="H45" i="17"/>
  <c r="I101" i="17"/>
  <c r="L34" i="7"/>
  <c r="L10" i="19"/>
  <c r="K34" i="7"/>
  <c r="J57" i="17"/>
  <c r="E65" i="17"/>
  <c r="G46" i="7"/>
  <c r="D82" i="19"/>
  <c r="J86" i="7"/>
  <c r="K12" i="12"/>
  <c r="P50" i="7"/>
  <c r="M29" i="17"/>
  <c r="D81" i="12"/>
  <c r="N101" i="17"/>
  <c r="O12" i="17"/>
  <c r="N97" i="17"/>
  <c r="H12" i="12"/>
  <c r="P102" i="7"/>
  <c r="J73" i="17"/>
  <c r="P98" i="7"/>
  <c r="M30" i="7"/>
  <c r="Q12" i="17"/>
  <c r="P82" i="7"/>
  <c r="N12" i="17"/>
  <c r="N94" i="7"/>
  <c r="N69" i="17"/>
  <c r="Q53" i="17"/>
  <c r="D70" i="7"/>
  <c r="R42" i="7"/>
  <c r="L45" i="17"/>
  <c r="D77" i="12"/>
  <c r="F105" i="17"/>
  <c r="H10" i="7"/>
  <c r="D33" i="17"/>
  <c r="K26" i="7"/>
  <c r="O102" i="7"/>
  <c r="R10" i="19"/>
  <c r="K45" i="17"/>
  <c r="D81" i="17"/>
  <c r="K41" i="17"/>
  <c r="I7" i="12"/>
  <c r="F45" i="17"/>
  <c r="D82" i="7"/>
  <c r="H37" i="17"/>
  <c r="K97" i="17"/>
  <c r="N7" i="12"/>
  <c r="M7" i="17"/>
  <c r="N65" i="17"/>
  <c r="L105" i="17"/>
  <c r="G37" i="17"/>
  <c r="J58" i="7"/>
  <c r="F33" i="17"/>
  <c r="P61" i="17"/>
  <c r="Q73" i="17"/>
  <c r="R37" i="17"/>
  <c r="T10" i="19"/>
  <c r="N89" i="17"/>
  <c r="P86" i="7"/>
  <c r="K37" i="17"/>
  <c r="J74" i="7"/>
  <c r="J66" i="7"/>
  <c r="J97" i="17"/>
  <c r="D85" i="12"/>
  <c r="P12" i="12"/>
  <c r="D54" i="7"/>
  <c r="N58" i="7"/>
  <c r="R98" i="7"/>
  <c r="N85" i="17"/>
  <c r="K82" i="7"/>
  <c r="G81" i="17"/>
  <c r="R58" i="7"/>
  <c r="H42" i="7"/>
  <c r="G82" i="7"/>
  <c r="N105" i="17"/>
  <c r="D26" i="7"/>
  <c r="R34" i="7"/>
  <c r="Q90" i="7"/>
  <c r="Q69" i="17"/>
  <c r="M10" i="19"/>
  <c r="D38" i="19"/>
  <c r="J46" i="7"/>
  <c r="R94" i="7"/>
  <c r="M65" i="17"/>
  <c r="R61" i="17"/>
  <c r="D101" i="12"/>
  <c r="M101" i="17"/>
  <c r="E7" i="17"/>
  <c r="Q29" i="17"/>
  <c r="J45" i="17"/>
  <c r="G42" i="7"/>
  <c r="G78" i="7"/>
  <c r="D58" i="19"/>
  <c r="M81" i="17"/>
  <c r="I69" i="17"/>
  <c r="L53" i="17"/>
  <c r="G49" i="17"/>
  <c r="K69" i="17"/>
  <c r="H10" i="19"/>
  <c r="L57" i="17"/>
  <c r="D70" i="19"/>
  <c r="Q81" i="17"/>
  <c r="P42" i="7"/>
  <c r="D69" i="12"/>
  <c r="G65" i="17"/>
  <c r="H41" i="17"/>
  <c r="D58" i="7"/>
  <c r="L37" i="17"/>
  <c r="K94" i="7"/>
  <c r="R82" i="7"/>
  <c r="C6" i="26" l="1"/>
  <c r="C16" i="26"/>
  <c r="C28" i="26"/>
  <c r="C33" i="26"/>
  <c r="C74" i="24"/>
  <c r="C109" i="20"/>
  <c r="C85" i="24"/>
  <c r="C126" i="24"/>
  <c r="C101" i="20"/>
  <c r="C143" i="20"/>
  <c r="C100" i="24"/>
  <c r="C7" i="24"/>
  <c r="C44" i="20"/>
  <c r="C17" i="24"/>
  <c r="C29" i="24"/>
  <c r="C36" i="20"/>
  <c r="C42" i="24"/>
  <c r="C124" i="20"/>
  <c r="C125" i="24"/>
  <c r="C137" i="20"/>
  <c r="C61" i="20"/>
  <c r="C57" i="24"/>
  <c r="C66" i="24"/>
  <c r="C107" i="24"/>
  <c r="C6" i="24"/>
  <c r="C93" i="24"/>
  <c r="C54" i="20"/>
  <c r="C34" i="24"/>
  <c r="C51" i="24"/>
  <c r="C80" i="20"/>
  <c r="C71" i="20"/>
  <c r="C92" i="20"/>
  <c r="C30" i="20"/>
  <c r="C117" i="20"/>
  <c r="C113" i="24"/>
  <c r="C40" i="26"/>
  <c r="C64" i="26"/>
  <c r="C92" i="26"/>
  <c r="C123" i="26"/>
  <c r="C84" i="26"/>
  <c r="C98" i="26"/>
  <c r="C49" i="26"/>
  <c r="C72" i="26"/>
  <c r="C111" i="26"/>
  <c r="C105" i="26"/>
  <c r="C55" i="26"/>
  <c r="C17" i="20"/>
  <c r="L6" i="24"/>
  <c r="J6" i="24"/>
  <c r="K6" i="24"/>
  <c r="G6" i="24"/>
  <c r="N6" i="24"/>
  <c r="I6" i="24"/>
  <c r="M6" i="24"/>
  <c r="E6" i="24"/>
  <c r="H6" i="24"/>
  <c r="F6" i="24"/>
  <c r="J125" i="24"/>
  <c r="I125" i="24"/>
  <c r="H125" i="24"/>
  <c r="M125" i="24"/>
  <c r="E125" i="24"/>
  <c r="G125" i="24"/>
  <c r="N125" i="24"/>
  <c r="L125" i="24"/>
  <c r="K125" i="24"/>
  <c r="F125" i="24"/>
  <c r="O43" i="7"/>
  <c r="O44" i="7" s="1"/>
  <c r="D43" i="7"/>
  <c r="D44" i="7" s="1"/>
  <c r="P63" i="7"/>
  <c r="P64" i="7" s="1"/>
  <c r="L83" i="7"/>
  <c r="L84" i="7" s="1"/>
  <c r="P67" i="7"/>
  <c r="P68" i="7" s="1"/>
  <c r="H103" i="7"/>
  <c r="H104" i="7" s="1"/>
  <c r="F83" i="7"/>
  <c r="F84" i="7" s="1"/>
  <c r="K35" i="7"/>
  <c r="K36" i="7" s="1"/>
  <c r="D8" i="17"/>
  <c r="M83" i="7"/>
  <c r="M84" i="7" s="1"/>
  <c r="L8" i="17"/>
  <c r="Q31" i="7"/>
  <c r="Q32" i="7" s="1"/>
  <c r="L31" i="7"/>
  <c r="L32" i="7" s="1"/>
  <c r="F95" i="7"/>
  <c r="F96" i="7" s="1"/>
  <c r="L67" i="7"/>
  <c r="L68" i="7" s="1"/>
  <c r="M43" i="7"/>
  <c r="M44" i="7" s="1"/>
  <c r="R8" i="12"/>
  <c r="H59" i="7"/>
  <c r="H60" i="7" s="1"/>
  <c r="H63" i="7"/>
  <c r="H64" i="7" s="1"/>
  <c r="L70" i="17"/>
  <c r="I51" i="7"/>
  <c r="I52" i="7" s="1"/>
  <c r="D66" i="17"/>
  <c r="M87" i="7"/>
  <c r="M88" i="7" s="1"/>
  <c r="E67" i="7"/>
  <c r="E68" i="7" s="1"/>
  <c r="N8" i="17"/>
  <c r="N66" i="17"/>
  <c r="D31" i="7"/>
  <c r="D32" i="7" s="1"/>
  <c r="G87" i="7"/>
  <c r="G88" i="7" s="1"/>
  <c r="N35" i="7"/>
  <c r="N36" i="7" s="1"/>
  <c r="H67" i="7"/>
  <c r="H68" i="7" s="1"/>
  <c r="N38" i="17"/>
  <c r="G27" i="7"/>
  <c r="G28" i="7" s="1"/>
  <c r="I31" i="7"/>
  <c r="I32" i="7" s="1"/>
  <c r="I39" i="7"/>
  <c r="I40" i="7" s="1"/>
  <c r="E75" i="7"/>
  <c r="E76" i="7" s="1"/>
  <c r="D106" i="17"/>
  <c r="I8" i="12"/>
  <c r="O71" i="7"/>
  <c r="O72" i="7" s="1"/>
  <c r="D86" i="17"/>
  <c r="P79" i="7"/>
  <c r="P80" i="7" s="1"/>
  <c r="D91" i="7"/>
  <c r="D92" i="7" s="1"/>
  <c r="P103" i="7"/>
  <c r="P104" i="7" s="1"/>
  <c r="M8" i="12"/>
  <c r="Q75" i="7"/>
  <c r="Q76" i="7" s="1"/>
  <c r="D71" i="7"/>
  <c r="D72" i="7" s="1"/>
  <c r="E95" i="7"/>
  <c r="E96" i="7" s="1"/>
  <c r="H75" i="7"/>
  <c r="H76" i="7" s="1"/>
  <c r="I71" i="7"/>
  <c r="I72" i="7" s="1"/>
  <c r="O47" i="7"/>
  <c r="O48" i="7" s="1"/>
  <c r="E31" i="7"/>
  <c r="E32" i="7" s="1"/>
  <c r="K67" i="7"/>
  <c r="K68" i="7" s="1"/>
  <c r="H8" i="12"/>
  <c r="L63" i="7"/>
  <c r="L64" i="7" s="1"/>
  <c r="R43" i="7"/>
  <c r="R44" i="7" s="1"/>
  <c r="I63" i="7"/>
  <c r="I64" i="7" s="1"/>
  <c r="N55" i="7"/>
  <c r="N56" i="7" s="1"/>
  <c r="H91" i="7"/>
  <c r="H92" i="7" s="1"/>
  <c r="I103" i="7"/>
  <c r="I104" i="7" s="1"/>
  <c r="R91" i="7"/>
  <c r="R92" i="7" s="1"/>
  <c r="L8" i="12"/>
  <c r="J63" i="7"/>
  <c r="J64" i="7" s="1"/>
  <c r="N83" i="7"/>
  <c r="N84" i="7" s="1"/>
  <c r="L51" i="7"/>
  <c r="L52" i="7" s="1"/>
  <c r="P87" i="7"/>
  <c r="P88" i="7" s="1"/>
  <c r="D39" i="19"/>
  <c r="D40" i="19" s="1"/>
  <c r="F51" i="7"/>
  <c r="F52" i="7" s="1"/>
  <c r="R71" i="7"/>
  <c r="R72" i="7" s="1"/>
  <c r="D51" i="7"/>
  <c r="D52" i="7" s="1"/>
  <c r="M39" i="7"/>
  <c r="M40" i="7" s="1"/>
  <c r="F55" i="7"/>
  <c r="F56" i="7" s="1"/>
  <c r="G95" i="7"/>
  <c r="G96" i="7" s="1"/>
  <c r="D31" i="19"/>
  <c r="D32" i="19" s="1"/>
  <c r="P59" i="7"/>
  <c r="P60" i="7" s="1"/>
  <c r="J35" i="7"/>
  <c r="J36" i="7" s="1"/>
  <c r="D30" i="17"/>
  <c r="D103" i="7"/>
  <c r="D104" i="7" s="1"/>
  <c r="E8" i="12"/>
  <c r="G31" i="7"/>
  <c r="G32" i="7" s="1"/>
  <c r="F91" i="7"/>
  <c r="F92" i="7" s="1"/>
  <c r="L27" i="7"/>
  <c r="L28" i="7" s="1"/>
  <c r="D59" i="7"/>
  <c r="D60" i="7" s="1"/>
  <c r="H99" i="7"/>
  <c r="H100" i="7" s="1"/>
  <c r="H83" i="7"/>
  <c r="H84" i="7" s="1"/>
  <c r="K71" i="7"/>
  <c r="K72" i="7" s="1"/>
  <c r="O79" i="7"/>
  <c r="O80" i="7" s="1"/>
  <c r="Q59" i="7"/>
  <c r="Q60" i="7" s="1"/>
  <c r="L103" i="7"/>
  <c r="L104" i="7" s="1"/>
  <c r="H8" i="17"/>
  <c r="F39" i="7"/>
  <c r="F40" i="7" s="1"/>
  <c r="P35" i="7"/>
  <c r="P36" i="7" s="1"/>
  <c r="M75" i="7"/>
  <c r="M76" i="7" s="1"/>
  <c r="O63" i="7"/>
  <c r="O64" i="7" s="1"/>
  <c r="Q83" i="7"/>
  <c r="Q84" i="7" s="1"/>
  <c r="O39" i="7"/>
  <c r="O40" i="7" s="1"/>
  <c r="G39" i="7"/>
  <c r="G40" i="7" s="1"/>
  <c r="K87" i="7"/>
  <c r="K88" i="7" s="1"/>
  <c r="R8" i="17"/>
  <c r="R27" i="7"/>
  <c r="R28" i="7" s="1"/>
  <c r="I35" i="7"/>
  <c r="I36" i="7" s="1"/>
  <c r="Q67" i="7"/>
  <c r="Q68" i="7" s="1"/>
  <c r="L58" i="17"/>
  <c r="R42" i="17"/>
  <c r="R51" i="7"/>
  <c r="R52" i="7" s="1"/>
  <c r="O8" i="12"/>
  <c r="L82" i="17"/>
  <c r="N98" i="17"/>
  <c r="N106" i="17"/>
  <c r="Q35" i="7"/>
  <c r="Q36" i="7" s="1"/>
  <c r="H35" i="7"/>
  <c r="H36" i="7" s="1"/>
  <c r="J27" i="7"/>
  <c r="J28" i="7" s="1"/>
  <c r="G91" i="7"/>
  <c r="G92" i="7" s="1"/>
  <c r="N102" i="17"/>
  <c r="L66" i="17"/>
  <c r="R58" i="17"/>
  <c r="K43" i="7"/>
  <c r="K44" i="7" s="1"/>
  <c r="G103" i="7"/>
  <c r="G104" i="7" s="1"/>
  <c r="D78" i="17"/>
  <c r="E55" i="7"/>
  <c r="E56" i="7" s="1"/>
  <c r="R83" i="7"/>
  <c r="R84" i="7" s="1"/>
  <c r="P8" i="12"/>
  <c r="L71" i="7"/>
  <c r="L72" i="7" s="1"/>
  <c r="E91" i="7"/>
  <c r="E92" i="7" s="1"/>
  <c r="E103" i="7"/>
  <c r="E104" i="7" s="1"/>
  <c r="N63" i="7"/>
  <c r="N64" i="7" s="1"/>
  <c r="O83" i="7"/>
  <c r="O84" i="7" s="1"/>
  <c r="F99" i="7"/>
  <c r="F100" i="7" s="1"/>
  <c r="D47" i="19"/>
  <c r="D48" i="19" s="1"/>
  <c r="D35" i="7"/>
  <c r="D36" i="7" s="1"/>
  <c r="K83" i="7"/>
  <c r="K84" i="7" s="1"/>
  <c r="E43" i="7"/>
  <c r="E44" i="7" s="1"/>
  <c r="E99" i="7"/>
  <c r="E100" i="7" s="1"/>
  <c r="J103" i="7"/>
  <c r="J104" i="7" s="1"/>
  <c r="K8" i="17"/>
  <c r="L54" i="17"/>
  <c r="H82" i="17"/>
  <c r="N87" i="7"/>
  <c r="N88" i="7" s="1"/>
  <c r="L86" i="17"/>
  <c r="R78" i="17"/>
  <c r="M95" i="7"/>
  <c r="M96" i="7" s="1"/>
  <c r="I59" i="7"/>
  <c r="I60" i="7" s="1"/>
  <c r="I47" i="7"/>
  <c r="I48" i="7" s="1"/>
  <c r="Q43" i="7"/>
  <c r="Q44" i="7" s="1"/>
  <c r="D99" i="7"/>
  <c r="D100" i="7" s="1"/>
  <c r="J99" i="7"/>
  <c r="J100" i="7" s="1"/>
  <c r="N86" i="17"/>
  <c r="D71" i="19"/>
  <c r="D72" i="19" s="1"/>
  <c r="P71" i="7"/>
  <c r="P72" i="7" s="1"/>
  <c r="Q51" i="7"/>
  <c r="Q52" i="7" s="1"/>
  <c r="D95" i="19"/>
  <c r="D96" i="19" s="1"/>
  <c r="M103" i="7"/>
  <c r="M104" i="7" s="1"/>
  <c r="E87" i="7"/>
  <c r="E88" i="7" s="1"/>
  <c r="J67" i="7"/>
  <c r="J68" i="7" s="1"/>
  <c r="M8" i="17"/>
  <c r="M54" i="17" s="1"/>
  <c r="E51" i="7"/>
  <c r="E52" i="7" s="1"/>
  <c r="M102" i="17"/>
  <c r="K90" i="17"/>
  <c r="G99" i="7"/>
  <c r="G100" i="7" s="1"/>
  <c r="M98" i="17"/>
  <c r="L102" i="17"/>
  <c r="O8" i="17"/>
  <c r="D87" i="7"/>
  <c r="D88" i="7" s="1"/>
  <c r="M99" i="7"/>
  <c r="M100" i="7" s="1"/>
  <c r="M47" i="7"/>
  <c r="M48" i="7" s="1"/>
  <c r="K42" i="17"/>
  <c r="O58" i="17"/>
  <c r="D51" i="19"/>
  <c r="D52" i="19" s="1"/>
  <c r="F43" i="7"/>
  <c r="F44" i="7" s="1"/>
  <c r="N103" i="7"/>
  <c r="N104" i="7" s="1"/>
  <c r="M59" i="7"/>
  <c r="M60" i="7" s="1"/>
  <c r="F27" i="7"/>
  <c r="F28" i="7" s="1"/>
  <c r="D103" i="19"/>
  <c r="D104" i="19" s="1"/>
  <c r="E39" i="7"/>
  <c r="E40" i="7" s="1"/>
  <c r="I8" i="17"/>
  <c r="H55" i="7"/>
  <c r="H56" i="7" s="1"/>
  <c r="D63" i="7"/>
  <c r="D64" i="7" s="1"/>
  <c r="K47" i="7"/>
  <c r="K48" i="7" s="1"/>
  <c r="G35" i="7"/>
  <c r="G36" i="7" s="1"/>
  <c r="F103" i="7"/>
  <c r="F104" i="7" s="1"/>
  <c r="I95" i="7"/>
  <c r="I96" i="7" s="1"/>
  <c r="R47" i="7"/>
  <c r="R48" i="7" s="1"/>
  <c r="J8" i="17"/>
  <c r="J82" i="17" s="1"/>
  <c r="I50" i="17"/>
  <c r="J38" i="17"/>
  <c r="D42" i="17"/>
  <c r="N31" i="7"/>
  <c r="N32" i="7" s="1"/>
  <c r="N99" i="7"/>
  <c r="N100" i="7" s="1"/>
  <c r="F47" i="7"/>
  <c r="F48" i="7" s="1"/>
  <c r="F71" i="7"/>
  <c r="F72" i="7" s="1"/>
  <c r="H34" i="17"/>
  <c r="L59" i="7"/>
  <c r="L60" i="7" s="1"/>
  <c r="J39" i="7"/>
  <c r="J40" i="7" s="1"/>
  <c r="K95" i="7"/>
  <c r="K96" i="7" s="1"/>
  <c r="J75" i="7"/>
  <c r="J76" i="7" s="1"/>
  <c r="D8" i="12"/>
  <c r="N39" i="7"/>
  <c r="N40" i="7" s="1"/>
  <c r="D58" i="12"/>
  <c r="D59" i="12" s="1"/>
  <c r="K63" i="7"/>
  <c r="K64" i="7" s="1"/>
  <c r="E79" i="7"/>
  <c r="E80" i="7" s="1"/>
  <c r="M86" i="17"/>
  <c r="M38" i="17"/>
  <c r="R79" i="7"/>
  <c r="R80" i="7" s="1"/>
  <c r="L34" i="17"/>
  <c r="J42" i="17"/>
  <c r="J90" i="17"/>
  <c r="O74" i="17"/>
  <c r="D50" i="12"/>
  <c r="D51" i="12" s="1"/>
  <c r="D78" i="12"/>
  <c r="D79" i="12" s="1"/>
  <c r="Q47" i="7"/>
  <c r="Q48" i="7" s="1"/>
  <c r="H58" i="17"/>
  <c r="K70" i="17"/>
  <c r="I74" i="17"/>
  <c r="D55" i="19"/>
  <c r="D56" i="19" s="1"/>
  <c r="R99" i="7"/>
  <c r="R100" i="7" s="1"/>
  <c r="G55" i="7"/>
  <c r="G56" i="7" s="1"/>
  <c r="K75" i="7"/>
  <c r="K76" i="7" s="1"/>
  <c r="F31" i="7"/>
  <c r="F32" i="7" s="1"/>
  <c r="J58" i="17"/>
  <c r="M30" i="17"/>
  <c r="F63" i="7"/>
  <c r="F64" i="7" s="1"/>
  <c r="N62" i="17"/>
  <c r="D79" i="7"/>
  <c r="D80" i="7" s="1"/>
  <c r="O87" i="7"/>
  <c r="O88" i="7" s="1"/>
  <c r="R66" i="17"/>
  <c r="N51" i="7"/>
  <c r="N52" i="7" s="1"/>
  <c r="L79" i="7"/>
  <c r="L80" i="7" s="1"/>
  <c r="I91" i="7"/>
  <c r="I92" i="7" s="1"/>
  <c r="H71" i="7"/>
  <c r="H72" i="7" s="1"/>
  <c r="K31" i="7"/>
  <c r="K32" i="7" s="1"/>
  <c r="P55" i="7"/>
  <c r="P56" i="7" s="1"/>
  <c r="E47" i="7"/>
  <c r="E48" i="7" s="1"/>
  <c r="L74" i="17"/>
  <c r="M94" i="17"/>
  <c r="O78" i="17"/>
  <c r="D42" i="12"/>
  <c r="D43" i="12" s="1"/>
  <c r="L46" i="17"/>
  <c r="N54" i="17"/>
  <c r="M78" i="17"/>
  <c r="D106" i="12"/>
  <c r="D107" i="12" s="1"/>
  <c r="D83" i="7"/>
  <c r="D84" i="7" s="1"/>
  <c r="D95" i="7"/>
  <c r="D96" i="7" s="1"/>
  <c r="K59" i="7"/>
  <c r="K60" i="7" s="1"/>
  <c r="P27" i="7"/>
  <c r="P28" i="7" s="1"/>
  <c r="N67" i="7"/>
  <c r="N68" i="7" s="1"/>
  <c r="G59" i="7"/>
  <c r="G60" i="7" s="1"/>
  <c r="E8" i="17"/>
  <c r="N43" i="7"/>
  <c r="N44" i="7" s="1"/>
  <c r="L35" i="7"/>
  <c r="L36" i="7" s="1"/>
  <c r="L99" i="7"/>
  <c r="L100" i="7" s="1"/>
  <c r="O91" i="7"/>
  <c r="O92" i="7" s="1"/>
  <c r="R50" i="17"/>
  <c r="N59" i="7"/>
  <c r="N60" i="7" s="1"/>
  <c r="N91" i="7"/>
  <c r="N92" i="7" s="1"/>
  <c r="D82" i="17"/>
  <c r="D99" i="19"/>
  <c r="D100" i="19" s="1"/>
  <c r="D62" i="17"/>
  <c r="R90" i="17"/>
  <c r="P51" i="7"/>
  <c r="P52" i="7" s="1"/>
  <c r="D55" i="7"/>
  <c r="D56" i="7" s="1"/>
  <c r="D38" i="17"/>
  <c r="I55" i="7"/>
  <c r="I56" i="7" s="1"/>
  <c r="I66" i="17"/>
  <c r="I30" i="17"/>
  <c r="D50" i="17"/>
  <c r="K66" i="17"/>
  <c r="O50" i="17"/>
  <c r="E30" i="17"/>
  <c r="P91" i="7"/>
  <c r="P92" i="7" s="1"/>
  <c r="R95" i="7"/>
  <c r="R96" i="7" s="1"/>
  <c r="D67" i="19"/>
  <c r="D68" i="19" s="1"/>
  <c r="I79" i="7"/>
  <c r="I80" i="7" s="1"/>
  <c r="E62" i="17"/>
  <c r="R31" i="7"/>
  <c r="R32" i="7" s="1"/>
  <c r="H74" i="17"/>
  <c r="M71" i="7"/>
  <c r="M72" i="7" s="1"/>
  <c r="O31" i="7"/>
  <c r="O32" i="7" s="1"/>
  <c r="G71" i="7"/>
  <c r="G72" i="7" s="1"/>
  <c r="D94" i="12"/>
  <c r="D95" i="12" s="1"/>
  <c r="M74" i="17"/>
  <c r="K91" i="7"/>
  <c r="K92" i="7" s="1"/>
  <c r="R86" i="17"/>
  <c r="L38" i="17"/>
  <c r="K78" i="17"/>
  <c r="E94" i="17"/>
  <c r="J102" i="17"/>
  <c r="J54" i="17"/>
  <c r="M58" i="17"/>
  <c r="O66" i="17"/>
  <c r="D82" i="12"/>
  <c r="D83" i="12" s="1"/>
  <c r="D98" i="12"/>
  <c r="D99" i="12" s="1"/>
  <c r="M63" i="7"/>
  <c r="M64" i="7" s="1"/>
  <c r="K98" i="17"/>
  <c r="P31" i="7"/>
  <c r="P32" i="7" s="1"/>
  <c r="M31" i="7"/>
  <c r="M32" i="7" s="1"/>
  <c r="J87" i="7"/>
  <c r="J88" i="7" s="1"/>
  <c r="O67" i="7"/>
  <c r="O68" i="7" s="1"/>
  <c r="F79" i="7"/>
  <c r="F80" i="7" s="1"/>
  <c r="I78" i="17"/>
  <c r="Q103" i="7"/>
  <c r="Q104" i="7" s="1"/>
  <c r="O51" i="7"/>
  <c r="O52" i="7" s="1"/>
  <c r="O95" i="7"/>
  <c r="O96" i="7" s="1"/>
  <c r="G83" i="7"/>
  <c r="G84" i="7" s="1"/>
  <c r="E74" i="17"/>
  <c r="M82" i="17"/>
  <c r="O98" i="17"/>
  <c r="I38" i="17"/>
  <c r="O86" i="17"/>
  <c r="N34" i="17"/>
  <c r="K34" i="17"/>
  <c r="J62" i="17"/>
  <c r="D70" i="12"/>
  <c r="D71" i="12" s="1"/>
  <c r="J31" i="7"/>
  <c r="J32" i="7" s="1"/>
  <c r="O34" i="17"/>
  <c r="J46" i="17"/>
  <c r="O75" i="7"/>
  <c r="O76" i="7" s="1"/>
  <c r="I75" i="7"/>
  <c r="I76" i="7" s="1"/>
  <c r="R103" i="7"/>
  <c r="R104" i="7" s="1"/>
  <c r="M51" i="7"/>
  <c r="M52" i="7" s="1"/>
  <c r="F87" i="7"/>
  <c r="F88" i="7" s="1"/>
  <c r="D75" i="7"/>
  <c r="D76" i="7" s="1"/>
  <c r="Q63" i="7"/>
  <c r="Q64" i="7" s="1"/>
  <c r="D43" i="19"/>
  <c r="D44" i="19" s="1"/>
  <c r="D59" i="19"/>
  <c r="D60" i="19" s="1"/>
  <c r="H47" i="7"/>
  <c r="H48" i="7" s="1"/>
  <c r="D27" i="7"/>
  <c r="D28" i="7" s="1"/>
  <c r="J91" i="7"/>
  <c r="J92" i="7" s="1"/>
  <c r="G79" i="7"/>
  <c r="G80" i="7" s="1"/>
  <c r="H87" i="7"/>
  <c r="H88" i="7" s="1"/>
  <c r="N27" i="7"/>
  <c r="N28" i="7" s="1"/>
  <c r="Q95" i="7"/>
  <c r="Q96" i="7" s="1"/>
  <c r="H31" i="7"/>
  <c r="H32" i="7" s="1"/>
  <c r="R75" i="7"/>
  <c r="R76" i="7" s="1"/>
  <c r="K39" i="7"/>
  <c r="K40" i="7" s="1"/>
  <c r="R39" i="7"/>
  <c r="R40" i="7" s="1"/>
  <c r="D70" i="17"/>
  <c r="K94" i="17"/>
  <c r="H39" i="7"/>
  <c r="H40" i="7" s="1"/>
  <c r="M55" i="7"/>
  <c r="M56" i="7" s="1"/>
  <c r="H98" i="17"/>
  <c r="I90" i="17"/>
  <c r="M62" i="17"/>
  <c r="L95" i="7"/>
  <c r="L96" i="7" s="1"/>
  <c r="H38" i="17"/>
  <c r="D58" i="17"/>
  <c r="I27" i="7"/>
  <c r="I28" i="7" s="1"/>
  <c r="D90" i="17"/>
  <c r="O38" i="17"/>
  <c r="M34" i="17"/>
  <c r="N79" i="7"/>
  <c r="N80" i="7" s="1"/>
  <c r="J86" i="17"/>
  <c r="K51" i="7"/>
  <c r="K52" i="7" s="1"/>
  <c r="J94" i="17"/>
  <c r="I42" i="17"/>
  <c r="N47" i="7"/>
  <c r="N48" i="7" s="1"/>
  <c r="Q27" i="7"/>
  <c r="Q28" i="7" s="1"/>
  <c r="M50" i="17"/>
  <c r="D87" i="19"/>
  <c r="D88" i="19" s="1"/>
  <c r="D67" i="7"/>
  <c r="D68" i="7" s="1"/>
  <c r="I43" i="7"/>
  <c r="I44" i="7" s="1"/>
  <c r="L94" i="17"/>
  <c r="R98" i="17"/>
  <c r="O30" i="17"/>
  <c r="H79" i="7"/>
  <c r="H80" i="7" s="1"/>
  <c r="H106" i="17"/>
  <c r="Q79" i="7"/>
  <c r="Q80" i="7" s="1"/>
  <c r="J51" i="7"/>
  <c r="J52" i="7" s="1"/>
  <c r="N82" i="17"/>
  <c r="L42" i="17"/>
  <c r="K106" i="17"/>
  <c r="N94" i="17"/>
  <c r="J30" i="17"/>
  <c r="M90" i="17"/>
  <c r="O94" i="17"/>
  <c r="O62" i="17"/>
  <c r="D66" i="12"/>
  <c r="D67" i="12" s="1"/>
  <c r="D46" i="12"/>
  <c r="D47" i="12" s="1"/>
  <c r="J79" i="7"/>
  <c r="J80" i="7" s="1"/>
  <c r="I87" i="7"/>
  <c r="I88" i="7" s="1"/>
  <c r="D79" i="19"/>
  <c r="D80" i="19" s="1"/>
  <c r="H95" i="7"/>
  <c r="H96" i="7" s="1"/>
  <c r="L87" i="7"/>
  <c r="L88" i="7" s="1"/>
  <c r="K27" i="7"/>
  <c r="K28" i="7" s="1"/>
  <c r="L43" i="7"/>
  <c r="L44" i="7" s="1"/>
  <c r="E83" i="7"/>
  <c r="E84" i="7" s="1"/>
  <c r="D91" i="19"/>
  <c r="D92" i="19" s="1"/>
  <c r="M27" i="7"/>
  <c r="M28" i="7" s="1"/>
  <c r="R46" i="17"/>
  <c r="I83" i="7"/>
  <c r="I84" i="7" s="1"/>
  <c r="Q91" i="7"/>
  <c r="Q92" i="7" s="1"/>
  <c r="K38" i="17"/>
  <c r="Q8" i="17"/>
  <c r="P39" i="7"/>
  <c r="P40" i="7" s="1"/>
  <c r="Q78" i="17"/>
  <c r="J83" i="7"/>
  <c r="J84" i="7" s="1"/>
  <c r="N50" i="17"/>
  <c r="G47" i="7"/>
  <c r="G48" i="7" s="1"/>
  <c r="M70" i="17"/>
  <c r="D34" i="17"/>
  <c r="Q54" i="17"/>
  <c r="K46" i="17"/>
  <c r="E98" i="17"/>
  <c r="H90" i="17"/>
  <c r="R70" i="17"/>
  <c r="P47" i="7"/>
  <c r="P48" i="7" s="1"/>
  <c r="N58" i="17"/>
  <c r="M106" i="17"/>
  <c r="N75" i="7"/>
  <c r="N76" i="7" s="1"/>
  <c r="L91" i="7"/>
  <c r="L92" i="7" s="1"/>
  <c r="I70" i="17"/>
  <c r="H46" i="17"/>
  <c r="K86" i="17"/>
  <c r="O103" i="7"/>
  <c r="O104" i="7" s="1"/>
  <c r="P83" i="7"/>
  <c r="P84" i="7" s="1"/>
  <c r="L62" i="17"/>
  <c r="K102" i="17"/>
  <c r="Q74" i="17"/>
  <c r="O82" i="17"/>
  <c r="D102" i="12"/>
  <c r="D103" i="12" s="1"/>
  <c r="H43" i="7"/>
  <c r="H44" i="7" s="1"/>
  <c r="O27" i="7"/>
  <c r="O28" i="7" s="1"/>
  <c r="R55" i="7"/>
  <c r="R56" i="7" s="1"/>
  <c r="M67" i="7"/>
  <c r="M68" i="7" s="1"/>
  <c r="H27" i="7"/>
  <c r="H28" i="7" s="1"/>
  <c r="F8" i="17"/>
  <c r="D35" i="19"/>
  <c r="D36" i="19" s="1"/>
  <c r="L75" i="7"/>
  <c r="L76" i="7" s="1"/>
  <c r="F59" i="7"/>
  <c r="F60" i="7" s="1"/>
  <c r="I82" i="17"/>
  <c r="F35" i="7"/>
  <c r="F36" i="7" s="1"/>
  <c r="D46" i="17"/>
  <c r="N46" i="17"/>
  <c r="P99" i="7"/>
  <c r="P100" i="7" s="1"/>
  <c r="F78" i="17"/>
  <c r="N78" i="17"/>
  <c r="K99" i="7"/>
  <c r="K100" i="7" s="1"/>
  <c r="D47" i="7"/>
  <c r="D48" i="7" s="1"/>
  <c r="R67" i="7"/>
  <c r="R68" i="7" s="1"/>
  <c r="M66" i="17"/>
  <c r="E38" i="17"/>
  <c r="G51" i="7"/>
  <c r="G52" i="7" s="1"/>
  <c r="N90" i="17"/>
  <c r="J78" i="17"/>
  <c r="M46" i="17"/>
  <c r="O90" i="17"/>
  <c r="P75" i="7"/>
  <c r="P76" i="7" s="1"/>
  <c r="F8" i="12"/>
  <c r="G8" i="12"/>
  <c r="H94" i="17"/>
  <c r="L50" i="17"/>
  <c r="J50" i="17"/>
  <c r="G67" i="7"/>
  <c r="G68" i="7" s="1"/>
  <c r="Q55" i="7"/>
  <c r="Q56" i="7" s="1"/>
  <c r="N42" i="17"/>
  <c r="J74" i="17"/>
  <c r="H78" i="17"/>
  <c r="R34" i="17"/>
  <c r="J59" i="7"/>
  <c r="J60" i="7" s="1"/>
  <c r="K82" i="17"/>
  <c r="N71" i="7"/>
  <c r="N72" i="7" s="1"/>
  <c r="N74" i="17"/>
  <c r="R38" i="17"/>
  <c r="L30" i="17"/>
  <c r="O70" i="17"/>
  <c r="D86" i="12"/>
  <c r="D87" i="12" s="1"/>
  <c r="D63" i="19"/>
  <c r="D64" i="19" s="1"/>
  <c r="L78" i="17"/>
  <c r="M35" i="7"/>
  <c r="M36" i="7" s="1"/>
  <c r="O99" i="7"/>
  <c r="O100" i="7" s="1"/>
  <c r="E42" i="17"/>
  <c r="Q71" i="7"/>
  <c r="Q72" i="7" s="1"/>
  <c r="K79" i="7"/>
  <c r="K80" i="7" s="1"/>
  <c r="K8" i="12"/>
  <c r="R106" i="17"/>
  <c r="J66" i="17"/>
  <c r="H62" i="17"/>
  <c r="O54" i="17"/>
  <c r="G63" i="7"/>
  <c r="G64" i="7" s="1"/>
  <c r="J55" i="7"/>
  <c r="J56" i="7" s="1"/>
  <c r="Q70" i="17"/>
  <c r="H51" i="7"/>
  <c r="H52" i="7" s="1"/>
  <c r="E71" i="7"/>
  <c r="E72" i="7" s="1"/>
  <c r="R74" i="17"/>
  <c r="E54" i="17"/>
  <c r="J43" i="7"/>
  <c r="J44" i="7" s="1"/>
  <c r="L55" i="7"/>
  <c r="L56" i="7" s="1"/>
  <c r="O35" i="7"/>
  <c r="O36" i="7" s="1"/>
  <c r="Q99" i="7"/>
  <c r="Q100" i="7" s="1"/>
  <c r="M91" i="7"/>
  <c r="M92" i="7" s="1"/>
  <c r="P8" i="17"/>
  <c r="G75" i="7"/>
  <c r="G76" i="7" s="1"/>
  <c r="D94" i="17"/>
  <c r="E34" i="17"/>
  <c r="D54" i="17"/>
  <c r="J34" i="17"/>
  <c r="I46" i="17"/>
  <c r="M42" i="17"/>
  <c r="P38" i="17"/>
  <c r="E35" i="7"/>
  <c r="E36" i="7" s="1"/>
  <c r="E70" i="17"/>
  <c r="Q86" i="17"/>
  <c r="P62" i="17"/>
  <c r="D90" i="12"/>
  <c r="D91" i="12" s="1"/>
  <c r="N95" i="7"/>
  <c r="N96" i="7" s="1"/>
  <c r="M79" i="7"/>
  <c r="M80" i="7" s="1"/>
  <c r="R94" i="17"/>
  <c r="H66" i="17"/>
  <c r="R82" i="17"/>
  <c r="F58" i="17"/>
  <c r="J106" i="17"/>
  <c r="J47" i="7"/>
  <c r="J48" i="7" s="1"/>
  <c r="P43" i="7"/>
  <c r="P44" i="7" s="1"/>
  <c r="R87" i="7"/>
  <c r="R88" i="7" s="1"/>
  <c r="F75" i="7"/>
  <c r="F76" i="7" s="1"/>
  <c r="H42" i="17"/>
  <c r="D39" i="7"/>
  <c r="D40" i="7" s="1"/>
  <c r="D102" i="17"/>
  <c r="L47" i="7"/>
  <c r="L48" i="7" s="1"/>
  <c r="L98" i="17"/>
  <c r="J98" i="17"/>
  <c r="D54" i="12"/>
  <c r="D55" i="12" s="1"/>
  <c r="E27" i="7"/>
  <c r="E28" i="7" s="1"/>
  <c r="K55" i="7"/>
  <c r="K56" i="7" s="1"/>
  <c r="Q30" i="17"/>
  <c r="R54" i="17"/>
  <c r="L39" i="7"/>
  <c r="L40" i="7" s="1"/>
  <c r="H54" i="17"/>
  <c r="N30" i="17"/>
  <c r="G8" i="17"/>
  <c r="P95" i="7"/>
  <c r="P96" i="7" s="1"/>
  <c r="O42" i="17"/>
  <c r="P86" i="17"/>
  <c r="K54" i="17"/>
  <c r="O59" i="7"/>
  <c r="O60" i="7" s="1"/>
  <c r="I67" i="7"/>
  <c r="I68" i="7" s="1"/>
  <c r="I62" i="17"/>
  <c r="L106" i="17"/>
  <c r="J8" i="12"/>
  <c r="D83" i="19"/>
  <c r="D84" i="19" s="1"/>
  <c r="Q39" i="7"/>
  <c r="Q40" i="7" s="1"/>
  <c r="N70" i="17"/>
  <c r="K62" i="17"/>
  <c r="E63" i="7"/>
  <c r="E64" i="7" s="1"/>
  <c r="R63" i="7"/>
  <c r="R64" i="7" s="1"/>
  <c r="O55" i="7"/>
  <c r="O56" i="7" s="1"/>
  <c r="K103" i="7"/>
  <c r="K104" i="7" s="1"/>
  <c r="J95" i="7"/>
  <c r="J96" i="7" s="1"/>
  <c r="F67" i="7"/>
  <c r="F68" i="7" s="1"/>
  <c r="F82" i="17"/>
  <c r="E86" i="17"/>
  <c r="D30" i="12"/>
  <c r="D31" i="12" s="1"/>
  <c r="F98" i="17"/>
  <c r="Q87" i="7"/>
  <c r="Q88" i="7" s="1"/>
  <c r="H30" i="17"/>
  <c r="Q98" i="17"/>
  <c r="N8" i="12"/>
  <c r="Q8" i="12"/>
  <c r="D74" i="12"/>
  <c r="D75" i="12" s="1"/>
  <c r="I54" i="17"/>
  <c r="D38" i="12"/>
  <c r="D39" i="12" s="1"/>
  <c r="G102" i="17"/>
  <c r="R59" i="7"/>
  <c r="R60" i="7" s="1"/>
  <c r="R62" i="17"/>
  <c r="E59" i="7"/>
  <c r="E60" i="7" s="1"/>
  <c r="E50" i="17"/>
  <c r="D74" i="17"/>
  <c r="Q38" i="17"/>
  <c r="R35" i="7"/>
  <c r="R36" i="7" s="1"/>
  <c r="P42" i="17"/>
  <c r="G82" i="17"/>
  <c r="G43" i="7"/>
  <c r="G44" i="7" s="1"/>
  <c r="D27" i="19"/>
  <c r="D28" i="19" s="1"/>
  <c r="D98" i="17"/>
  <c r="I99" i="7"/>
  <c r="I100" i="7" s="1"/>
  <c r="J71" i="7"/>
  <c r="J72" i="7" s="1"/>
  <c r="D75" i="19"/>
  <c r="D76" i="19" s="1"/>
  <c r="J70" i="17"/>
  <c r="O102" i="17"/>
  <c r="G78" i="17"/>
  <c r="D34" i="12"/>
  <c r="D35" i="12" s="1"/>
  <c r="H70" i="17"/>
  <c r="H86" i="17"/>
  <c r="H102" i="17"/>
  <c r="R102" i="17"/>
  <c r="K74" i="17"/>
  <c r="K58" i="17"/>
  <c r="K50" i="17"/>
  <c r="K30" i="17"/>
  <c r="O46" i="17"/>
  <c r="O106" i="17"/>
  <c r="I34" i="17"/>
  <c r="I86" i="17"/>
  <c r="I58" i="17"/>
  <c r="I94" i="17"/>
  <c r="I106" i="17"/>
  <c r="E78" i="17"/>
  <c r="E106" i="17"/>
  <c r="E58" i="17"/>
  <c r="E102" i="17"/>
  <c r="E46" i="17"/>
  <c r="E66" i="17"/>
  <c r="E90" i="17"/>
  <c r="E82" i="17"/>
  <c r="Q94" i="17"/>
  <c r="Q42" i="17"/>
  <c r="Q50" i="17"/>
  <c r="Q102" i="17"/>
  <c r="Q90" i="17"/>
  <c r="Q106" i="17"/>
  <c r="Q58" i="17"/>
  <c r="Q46" i="17"/>
  <c r="Q62" i="17"/>
  <c r="Q82" i="17"/>
  <c r="Q34" i="17"/>
  <c r="Q66" i="17"/>
  <c r="F50" i="17"/>
  <c r="F54" i="17"/>
  <c r="F62" i="17"/>
  <c r="F90" i="17"/>
  <c r="F42" i="17"/>
  <c r="F70" i="17"/>
  <c r="F30" i="17"/>
  <c r="F74" i="17"/>
  <c r="F66" i="17"/>
  <c r="F86" i="17"/>
  <c r="F46" i="17"/>
  <c r="F106" i="17"/>
  <c r="F34" i="17"/>
  <c r="F102" i="17"/>
  <c r="F94" i="17"/>
  <c r="F38" i="17"/>
  <c r="P98" i="17"/>
  <c r="P90" i="17"/>
  <c r="P46" i="17"/>
  <c r="P106" i="17"/>
  <c r="P102" i="17"/>
  <c r="P50" i="17"/>
  <c r="P94" i="17"/>
  <c r="P70" i="17"/>
  <c r="P30" i="17"/>
  <c r="P74" i="17"/>
  <c r="P82" i="17"/>
  <c r="P78" i="17"/>
  <c r="P34" i="17"/>
  <c r="P58" i="17"/>
  <c r="P66" i="17"/>
  <c r="P54" i="17"/>
  <c r="G38" i="17"/>
  <c r="G70" i="17"/>
  <c r="G74" i="17"/>
  <c r="G90" i="17"/>
  <c r="G34" i="17"/>
  <c r="G42" i="17"/>
  <c r="G54" i="17"/>
  <c r="G58" i="17"/>
  <c r="G98" i="17"/>
  <c r="G50" i="17"/>
  <c r="G94" i="17"/>
  <c r="G106" i="17"/>
  <c r="G66" i="17"/>
  <c r="G86" i="17"/>
  <c r="G46" i="17"/>
  <c r="G62" i="17"/>
  <c r="G30" i="17"/>
  <c r="O30" i="12"/>
  <c r="O31" i="12" s="1"/>
  <c r="O34" i="12"/>
  <c r="O35" i="12" s="1"/>
  <c r="O38" i="12"/>
  <c r="O39" i="12" s="1"/>
  <c r="O42" i="12"/>
  <c r="O43" i="12" s="1"/>
  <c r="O46" i="12"/>
  <c r="O47" i="12" s="1"/>
  <c r="O50" i="12"/>
  <c r="O51" i="12" s="1"/>
  <c r="O54" i="12"/>
  <c r="O55" i="12" s="1"/>
  <c r="O58" i="12"/>
  <c r="O59" i="12" s="1"/>
  <c r="O62" i="12"/>
  <c r="O63" i="12" s="1"/>
  <c r="O66" i="12"/>
  <c r="O67" i="12" s="1"/>
  <c r="O70" i="12"/>
  <c r="O71" i="12" s="1"/>
  <c r="O74" i="12"/>
  <c r="O75" i="12" s="1"/>
  <c r="O82" i="12"/>
  <c r="O83" i="12" s="1"/>
  <c r="O86" i="12"/>
  <c r="O87" i="12" s="1"/>
  <c r="O90" i="12"/>
  <c r="O91" i="12" s="1"/>
  <c r="O98" i="12"/>
  <c r="O99" i="12" s="1"/>
  <c r="O106" i="12"/>
  <c r="O107" i="12" s="1"/>
  <c r="O78" i="12"/>
  <c r="O79" i="12" s="1"/>
  <c r="O102" i="12"/>
  <c r="O103" i="12" s="1"/>
  <c r="O94" i="12"/>
  <c r="O95" i="12" s="1"/>
  <c r="U101" i="24"/>
  <c r="O96" i="12" l="1"/>
  <c r="O104" i="12"/>
  <c r="O80" i="12"/>
  <c r="O100" i="12"/>
  <c r="O92" i="12"/>
  <c r="O88" i="12"/>
  <c r="O84" i="12"/>
  <c r="O76" i="12"/>
  <c r="O72" i="12"/>
  <c r="O68" i="12"/>
  <c r="O64" i="12"/>
  <c r="O60" i="12"/>
  <c r="O56" i="12"/>
  <c r="O52" i="12"/>
  <c r="O48" i="12"/>
  <c r="O44" i="12"/>
  <c r="O40" i="12"/>
  <c r="O36" i="12"/>
  <c r="O32" i="12"/>
  <c r="O7" i="24"/>
  <c r="O100" i="24"/>
  <c r="O85" i="24"/>
  <c r="O107" i="24"/>
  <c r="O113" i="24"/>
  <c r="O74" i="24"/>
  <c r="O66" i="24"/>
  <c r="O126" i="24"/>
  <c r="O34" i="24"/>
  <c r="O29" i="24"/>
  <c r="O125" i="24"/>
  <c r="O51" i="24"/>
  <c r="O17" i="24"/>
  <c r="O57" i="24"/>
  <c r="O93" i="24"/>
  <c r="O42" i="24"/>
  <c r="I98" i="17"/>
  <c r="M83" i="17"/>
  <c r="I99" i="17"/>
  <c r="O79" i="17"/>
  <c r="L90" i="17"/>
  <c r="I91" i="17"/>
  <c r="Q35" i="17"/>
  <c r="D47" i="17"/>
  <c r="E107" i="17"/>
  <c r="K55" i="17"/>
  <c r="K83" i="17"/>
  <c r="E75" i="17"/>
  <c r="G35" i="17"/>
  <c r="N103" i="17"/>
  <c r="J39" i="17"/>
  <c r="P87" i="17"/>
  <c r="H107" i="17"/>
  <c r="L51" i="17"/>
  <c r="D31" i="17"/>
  <c r="G99" i="17"/>
  <c r="K63" i="17"/>
  <c r="Q91" i="17"/>
  <c r="H43" i="17"/>
  <c r="R35" i="17"/>
  <c r="H35" i="17"/>
  <c r="N71" i="17"/>
  <c r="K35" i="17"/>
  <c r="P91" i="17"/>
  <c r="D63" i="17"/>
  <c r="O55" i="17"/>
  <c r="I95" i="17"/>
  <c r="G51" i="17"/>
  <c r="D71" i="17"/>
  <c r="E67" i="17"/>
  <c r="J107" i="17"/>
  <c r="P95" i="17"/>
  <c r="L39" i="17"/>
  <c r="N47" i="17"/>
  <c r="J31" i="17"/>
  <c r="H55" i="17"/>
  <c r="I63" i="17"/>
  <c r="F75" i="17"/>
  <c r="Q75" i="17"/>
  <c r="D75" i="17"/>
  <c r="M103" i="17"/>
  <c r="N79" i="17"/>
  <c r="E95" i="17"/>
  <c r="D99" i="17"/>
  <c r="R67" i="17"/>
  <c r="I47" i="17"/>
  <c r="Q63" i="17"/>
  <c r="M75" i="17"/>
  <c r="I79" i="17"/>
  <c r="K99" i="17"/>
  <c r="O51" i="17"/>
  <c r="R30" i="17"/>
  <c r="N87" i="17"/>
  <c r="M55" i="17"/>
  <c r="Q87" i="17"/>
  <c r="G91" i="17"/>
  <c r="Q71" i="17"/>
  <c r="H95" i="17"/>
  <c r="R43" i="17"/>
  <c r="F55" i="17"/>
  <c r="H99" i="17"/>
  <c r="F95" i="17"/>
  <c r="R75" i="17"/>
  <c r="K43" i="17"/>
  <c r="M43" i="17"/>
  <c r="N67" i="17"/>
  <c r="E99" i="17"/>
  <c r="I43" i="17"/>
  <c r="O63" i="17"/>
  <c r="O71" i="17"/>
  <c r="Q39" i="17"/>
  <c r="P107" i="17"/>
  <c r="D87" i="17"/>
  <c r="O75" i="17"/>
  <c r="P79" i="17"/>
  <c r="L31" i="17"/>
  <c r="E51" i="17"/>
  <c r="E59" i="17"/>
  <c r="N35" i="17"/>
  <c r="G83" i="17"/>
  <c r="H39" i="17"/>
  <c r="P59" i="17"/>
  <c r="J103" i="17"/>
  <c r="M31" i="17"/>
  <c r="D67" i="17"/>
  <c r="F39" i="17"/>
  <c r="K107" i="17"/>
  <c r="M63" i="17"/>
  <c r="G103" i="17"/>
  <c r="R79" i="17"/>
  <c r="H50" i="17"/>
  <c r="H103" i="17"/>
  <c r="L67" i="17"/>
  <c r="G87" i="17"/>
  <c r="E39" i="17"/>
  <c r="G107" i="17"/>
  <c r="P83" i="17"/>
  <c r="M99" i="17"/>
  <c r="I39" i="17"/>
  <c r="O87" i="17"/>
  <c r="R99" i="17"/>
  <c r="F71" i="17"/>
  <c r="R91" i="17"/>
  <c r="K39" i="17"/>
  <c r="J95" i="17"/>
  <c r="F31" i="17"/>
  <c r="N51" i="17"/>
  <c r="Q67" i="17"/>
  <c r="J47" i="17"/>
  <c r="M107" i="17"/>
  <c r="F35" i="17"/>
  <c r="L83" i="17"/>
  <c r="H87" i="17"/>
  <c r="J99" i="17"/>
  <c r="L43" i="17"/>
  <c r="H83" i="17"/>
  <c r="P63" i="17"/>
  <c r="N83" i="17"/>
  <c r="L35" i="17"/>
  <c r="E83" i="17"/>
  <c r="P75" i="17"/>
  <c r="E103" i="17"/>
  <c r="I59" i="17"/>
  <c r="F59" i="17"/>
  <c r="P99" i="17"/>
  <c r="G39" i="17"/>
  <c r="F103" i="17"/>
  <c r="J83" i="17"/>
  <c r="F67" i="17"/>
  <c r="L95" i="17"/>
  <c r="L63" i="17"/>
  <c r="K91" i="17"/>
  <c r="H75" i="17"/>
  <c r="G67" i="17"/>
  <c r="G63" i="17"/>
  <c r="R59" i="17"/>
  <c r="N107" i="17"/>
  <c r="M79" i="17"/>
  <c r="Q103" i="17"/>
  <c r="M91" i="17"/>
  <c r="E71" i="17"/>
  <c r="J55" i="17"/>
  <c r="M95" i="17"/>
  <c r="D83" i="17"/>
  <c r="D91" i="17"/>
  <c r="Q83" i="17"/>
  <c r="R51" i="17"/>
  <c r="J75" i="17"/>
  <c r="D55" i="17"/>
  <c r="H71" i="17"/>
  <c r="R103" i="17"/>
  <c r="G95" i="17"/>
  <c r="P51" i="17"/>
  <c r="E55" i="17"/>
  <c r="D95" i="17"/>
  <c r="L75" i="17"/>
  <c r="K79" i="17"/>
  <c r="E31" i="17"/>
  <c r="R107" i="17"/>
  <c r="Q99" i="17"/>
  <c r="E91" i="17"/>
  <c r="J71" i="17"/>
  <c r="O39" i="17"/>
  <c r="R47" i="17"/>
  <c r="I83" i="17"/>
  <c r="F51" i="17"/>
  <c r="O83" i="17"/>
  <c r="R95" i="17"/>
  <c r="F87" i="17"/>
  <c r="N59" i="17"/>
  <c r="F91" i="17"/>
  <c r="I67" i="17"/>
  <c r="L103" i="17"/>
  <c r="G75" i="17"/>
  <c r="L71" i="17"/>
  <c r="N99" i="17"/>
  <c r="K71" i="17"/>
  <c r="P39" i="17"/>
  <c r="G47" i="17"/>
  <c r="F83" i="17"/>
  <c r="Q31" i="17"/>
  <c r="R83" i="17"/>
  <c r="N39" i="17"/>
  <c r="P35" i="17"/>
  <c r="M71" i="17"/>
  <c r="K31" i="17"/>
  <c r="F43" i="17"/>
  <c r="D43" i="17"/>
  <c r="P43" i="17"/>
  <c r="J59" i="17"/>
  <c r="G31" i="17"/>
  <c r="D62" i="12"/>
  <c r="D63" i="12" s="1"/>
  <c r="O95" i="17"/>
  <c r="O67" i="17"/>
  <c r="I87" i="17"/>
  <c r="N63" i="17"/>
  <c r="O99" i="17"/>
  <c r="K87" i="17"/>
  <c r="I35" i="17"/>
  <c r="G59" i="17"/>
  <c r="P55" i="17"/>
  <c r="R71" i="17"/>
  <c r="M47" i="17"/>
  <c r="E43" i="17"/>
  <c r="J67" i="17"/>
  <c r="K103" i="17"/>
  <c r="R31" i="17"/>
  <c r="Q95" i="17"/>
  <c r="P31" i="17"/>
  <c r="D35" i="17"/>
  <c r="M39" i="17"/>
  <c r="N55" i="17"/>
  <c r="F47" i="17"/>
  <c r="P71" i="17"/>
  <c r="D79" i="17"/>
  <c r="O43" i="17"/>
  <c r="K47" i="17"/>
  <c r="Q79" i="17"/>
  <c r="D103" i="17"/>
  <c r="F63" i="17"/>
  <c r="Q51" i="17"/>
  <c r="I107" i="17"/>
  <c r="E63" i="17"/>
  <c r="Q43" i="17"/>
  <c r="M51" i="17"/>
  <c r="H59" i="17"/>
  <c r="J87" i="17"/>
  <c r="N91" i="17"/>
  <c r="H67" i="17"/>
  <c r="O107" i="17"/>
  <c r="J51" i="17"/>
  <c r="U124" i="26"/>
  <c r="R39" i="17"/>
  <c r="I71" i="17"/>
  <c r="J91" i="17"/>
  <c r="F79" i="17"/>
  <c r="K59" i="17"/>
  <c r="E47" i="17"/>
  <c r="O35" i="17"/>
  <c r="Q47" i="17"/>
  <c r="H79" i="17"/>
  <c r="G43" i="17"/>
  <c r="K95" i="17"/>
  <c r="P47" i="17"/>
  <c r="N43" i="17"/>
  <c r="I75" i="17"/>
  <c r="L91" i="17"/>
  <c r="L59" i="17"/>
  <c r="N95" i="17"/>
  <c r="K51" i="17"/>
  <c r="K75" i="17"/>
  <c r="L47" i="17"/>
  <c r="H31" i="17"/>
  <c r="O103" i="17"/>
  <c r="E87" i="17"/>
  <c r="R55" i="17"/>
  <c r="I31" i="17"/>
  <c r="J79" i="17"/>
  <c r="P67" i="17"/>
  <c r="H51" i="17"/>
  <c r="H63" i="17"/>
  <c r="N31" i="17"/>
  <c r="I102" i="17"/>
  <c r="L107" i="17"/>
  <c r="N75" i="17"/>
  <c r="E79" i="17"/>
  <c r="E35" i="17"/>
  <c r="R63" i="17"/>
  <c r="H47" i="17"/>
  <c r="M35" i="17"/>
  <c r="G79" i="17"/>
  <c r="L99" i="17"/>
  <c r="L87" i="17"/>
  <c r="J35" i="17"/>
  <c r="M87" i="17"/>
  <c r="M59" i="17"/>
  <c r="K67" i="17"/>
  <c r="D51" i="17"/>
  <c r="R87" i="17"/>
  <c r="I55" i="17"/>
  <c r="H91" i="17"/>
  <c r="J63" i="17"/>
  <c r="J43" i="17"/>
  <c r="O59" i="17"/>
  <c r="D39" i="17"/>
  <c r="Q55" i="17"/>
  <c r="O31" i="17"/>
  <c r="O47" i="17"/>
  <c r="P103" i="17"/>
  <c r="D59" i="17"/>
  <c r="I51" i="17"/>
  <c r="L79" i="17"/>
  <c r="Q59" i="17"/>
  <c r="F107" i="17"/>
  <c r="O91" i="17"/>
  <c r="G55" i="17"/>
  <c r="D107" i="17"/>
  <c r="Q107" i="17"/>
  <c r="L55" i="17"/>
  <c r="G71" i="17"/>
  <c r="M67" i="17"/>
  <c r="F99" i="17"/>
  <c r="O123" i="26" l="1"/>
  <c r="U73" i="26"/>
  <c r="I103" i="17"/>
  <c r="U93" i="26"/>
  <c r="U112" i="26"/>
  <c r="U106" i="26"/>
  <c r="U85" i="26"/>
  <c r="U99" i="26"/>
  <c r="U65" i="26"/>
  <c r="O84" i="26" l="1"/>
  <c r="O64" i="26"/>
  <c r="O92" i="26"/>
  <c r="O72" i="26"/>
  <c r="O98" i="26"/>
  <c r="O105" i="26"/>
  <c r="O111" i="26"/>
  <c r="C1" i="12"/>
  <c r="C1" i="7"/>
  <c r="C1" i="19"/>
  <c r="U29" i="26"/>
  <c r="U17" i="26"/>
  <c r="U7" i="26"/>
  <c r="U34" i="26"/>
  <c r="O6" i="26" l="1"/>
  <c r="O28" i="26"/>
  <c r="O16" i="26"/>
  <c r="O33" i="26"/>
  <c r="D1" i="20"/>
  <c r="B102" i="19" l="1"/>
  <c r="B98" i="19"/>
  <c r="B94" i="19"/>
  <c r="B90" i="19"/>
  <c r="B86" i="19"/>
  <c r="B82" i="19"/>
  <c r="B78" i="19"/>
  <c r="B74" i="19"/>
  <c r="B70" i="19"/>
  <c r="B66" i="19"/>
  <c r="B62" i="19"/>
  <c r="B58" i="19"/>
  <c r="B54" i="19"/>
  <c r="B50" i="19"/>
  <c r="B46" i="19"/>
  <c r="B42" i="19"/>
  <c r="B38" i="19"/>
  <c r="B34" i="19"/>
  <c r="B30" i="19"/>
  <c r="B26" i="19"/>
  <c r="B105" i="17" l="1"/>
  <c r="B101" i="17"/>
  <c r="B97" i="17"/>
  <c r="B93" i="17"/>
  <c r="B89" i="17"/>
  <c r="B85" i="17"/>
  <c r="B81" i="17"/>
  <c r="B77" i="17"/>
  <c r="B73" i="17"/>
  <c r="B69" i="17"/>
  <c r="B65" i="17"/>
  <c r="B61" i="17"/>
  <c r="B57" i="17"/>
  <c r="B53" i="17"/>
  <c r="B49" i="17"/>
  <c r="B45" i="17"/>
  <c r="B41" i="17"/>
  <c r="B37" i="17"/>
  <c r="B33" i="17"/>
  <c r="B29" i="17"/>
  <c r="U56" i="26"/>
  <c r="O55" i="26" l="1"/>
  <c r="J20" i="17"/>
  <c r="T17" i="19"/>
  <c r="L17" i="7"/>
  <c r="M17" i="7"/>
  <c r="Q17" i="7"/>
  <c r="O20" i="12"/>
  <c r="H20" i="17"/>
  <c r="R17" i="7"/>
  <c r="L20" i="12"/>
  <c r="M20" i="12"/>
  <c r="R17" i="19"/>
  <c r="R14" i="19" s="1"/>
  <c r="R16" i="19" s="1"/>
  <c r="N20" i="17"/>
  <c r="Q17" i="19"/>
  <c r="G20" i="17"/>
  <c r="I20" i="17"/>
  <c r="F20" i="17"/>
  <c r="R20" i="12"/>
  <c r="Q20" i="12"/>
  <c r="P17" i="19"/>
  <c r="M17" i="19"/>
  <c r="K20" i="17"/>
  <c r="P20" i="17"/>
  <c r="R20" i="17"/>
  <c r="L20" i="17"/>
  <c r="O17" i="19"/>
  <c r="O17" i="7"/>
  <c r="O20" i="17"/>
  <c r="P20" i="12"/>
  <c r="S17" i="19"/>
  <c r="M20" i="17"/>
  <c r="N17" i="19"/>
  <c r="N20" i="12"/>
  <c r="N17" i="7"/>
  <c r="Q20" i="17"/>
  <c r="L17" i="19"/>
  <c r="P17" i="7"/>
  <c r="E20" i="17"/>
  <c r="B105" i="12"/>
  <c r="B101" i="12"/>
  <c r="B97" i="12"/>
  <c r="B93" i="12"/>
  <c r="B89" i="12"/>
  <c r="B85" i="12"/>
  <c r="B81" i="12"/>
  <c r="B77" i="12"/>
  <c r="B73" i="12"/>
  <c r="B69" i="12"/>
  <c r="B65" i="12"/>
  <c r="B61" i="12"/>
  <c r="B57" i="12"/>
  <c r="B53" i="12"/>
  <c r="B49" i="12"/>
  <c r="B45" i="12"/>
  <c r="B41" i="12"/>
  <c r="B37" i="12"/>
  <c r="B33" i="12"/>
  <c r="B29" i="12"/>
  <c r="B42" i="7"/>
  <c r="B46" i="7"/>
  <c r="B50" i="7"/>
  <c r="B54" i="7"/>
  <c r="B58" i="7"/>
  <c r="B62" i="7"/>
  <c r="B66" i="7"/>
  <c r="B70" i="7"/>
  <c r="B74" i="7"/>
  <c r="B78" i="7"/>
  <c r="B82" i="7"/>
  <c r="B86" i="7"/>
  <c r="B90" i="7"/>
  <c r="B94" i="7"/>
  <c r="B98" i="7"/>
  <c r="B102" i="7"/>
  <c r="B34" i="7"/>
  <c r="B38" i="7"/>
  <c r="B30" i="7"/>
  <c r="B26" i="7"/>
  <c r="Y101" i="24"/>
  <c r="Y102" i="20"/>
  <c r="Y102" i="27"/>
  <c r="Y144" i="20"/>
  <c r="Y110" i="20"/>
  <c r="Y110" i="27"/>
  <c r="Y118" i="20"/>
  <c r="Y118" i="27"/>
  <c r="Y81" i="20"/>
  <c r="Y81" i="27"/>
  <c r="Y138" i="20"/>
  <c r="Y138" i="27"/>
  <c r="Y125" i="20"/>
  <c r="Y125" i="27"/>
  <c r="Y93" i="20"/>
  <c r="Y93" i="27"/>
  <c r="U41" i="26"/>
  <c r="Y17" i="26"/>
  <c r="Y56" i="26"/>
  <c r="U50" i="26"/>
  <c r="Y73" i="26"/>
  <c r="Y112" i="26"/>
  <c r="Y29" i="26"/>
  <c r="Y99" i="26"/>
  <c r="Y34" i="26"/>
  <c r="Y65" i="26"/>
  <c r="Y124" i="26"/>
  <c r="Y93" i="26"/>
  <c r="Y106" i="26"/>
  <c r="Y85" i="26"/>
  <c r="O40" i="26" l="1"/>
  <c r="O49" i="26"/>
  <c r="D20" i="17"/>
  <c r="R15" i="19"/>
  <c r="R36" i="17"/>
  <c r="S22" i="19"/>
  <c r="R25" i="12"/>
  <c r="R64" i="17"/>
  <c r="R96" i="17"/>
  <c r="R68" i="17"/>
  <c r="R25" i="17"/>
  <c r="R32" i="17"/>
  <c r="R48" i="17"/>
  <c r="R100" i="17"/>
  <c r="R56" i="17"/>
  <c r="T22" i="19"/>
  <c r="R60" i="17"/>
  <c r="R52" i="17"/>
  <c r="R88" i="17"/>
  <c r="R92" i="17"/>
  <c r="R104" i="17"/>
  <c r="R76" i="17"/>
  <c r="R72" i="17"/>
  <c r="R44" i="17"/>
  <c r="R84" i="17"/>
  <c r="R40" i="17"/>
  <c r="R80" i="17"/>
  <c r="R22" i="19"/>
  <c r="F48" i="17"/>
  <c r="F56" i="17"/>
  <c r="I25" i="17"/>
  <c r="I32" i="17"/>
  <c r="G84" i="17"/>
  <c r="P40" i="17"/>
  <c r="G52" i="17"/>
  <c r="I80" i="17"/>
  <c r="M40" i="17"/>
  <c r="K76" i="17"/>
  <c r="Q100" i="17"/>
  <c r="Q84" i="17"/>
  <c r="F36" i="17"/>
  <c r="L88" i="17"/>
  <c r="H88" i="17"/>
  <c r="I104" i="17"/>
  <c r="F92" i="17"/>
  <c r="O60" i="17"/>
  <c r="L76" i="17"/>
  <c r="M60" i="17"/>
  <c r="H56" i="17"/>
  <c r="K44" i="17"/>
  <c r="P36" i="17"/>
  <c r="F80" i="17"/>
  <c r="Q56" i="17"/>
  <c r="J36" i="17"/>
  <c r="M104" i="17"/>
  <c r="Q104" i="17"/>
  <c r="O68" i="17"/>
  <c r="L52" i="17"/>
  <c r="M100" i="17"/>
  <c r="N68" i="17"/>
  <c r="H60" i="17"/>
  <c r="J68" i="17"/>
  <c r="G64" i="17"/>
  <c r="P76" i="17"/>
  <c r="I60" i="17"/>
  <c r="I100" i="17"/>
  <c r="N48" i="17"/>
  <c r="F104" i="17"/>
  <c r="K32" i="17"/>
  <c r="K25" i="17"/>
  <c r="K26" i="17" s="1"/>
  <c r="P96" i="17"/>
  <c r="J52" i="17"/>
  <c r="Q40" i="17"/>
  <c r="N80" i="17"/>
  <c r="M80" i="17"/>
  <c r="G68" i="17"/>
  <c r="P104" i="17"/>
  <c r="M48" i="17"/>
  <c r="Q48" i="17"/>
  <c r="H92" i="17"/>
  <c r="F60" i="17"/>
  <c r="Q52" i="17"/>
  <c r="G25" i="17"/>
  <c r="G26" i="17" s="1"/>
  <c r="G32" i="17"/>
  <c r="G40" i="17"/>
  <c r="I44" i="17"/>
  <c r="G36" i="17"/>
  <c r="H64" i="17"/>
  <c r="P52" i="17"/>
  <c r="K56" i="17"/>
  <c r="O84" i="17"/>
  <c r="G88" i="17"/>
  <c r="Q25" i="17"/>
  <c r="Q26" i="17" s="1"/>
  <c r="Q32" i="17"/>
  <c r="O56" i="17"/>
  <c r="O44" i="17"/>
  <c r="P60" i="17"/>
  <c r="G104" i="17"/>
  <c r="H84" i="17"/>
  <c r="L96" i="17"/>
  <c r="I76" i="17"/>
  <c r="P80" i="17"/>
  <c r="M36" i="17"/>
  <c r="F100" i="17"/>
  <c r="O104" i="17"/>
  <c r="I72" i="17"/>
  <c r="O22" i="19"/>
  <c r="O23" i="19" s="1"/>
  <c r="L44" i="17"/>
  <c r="O32" i="17"/>
  <c r="O25" i="17"/>
  <c r="J64" i="17"/>
  <c r="L84" i="17"/>
  <c r="K68" i="17"/>
  <c r="K92" i="17"/>
  <c r="L68" i="17"/>
  <c r="O76" i="17"/>
  <c r="P92" i="17"/>
  <c r="H68" i="17"/>
  <c r="O80" i="17"/>
  <c r="I84" i="17"/>
  <c r="F88" i="17"/>
  <c r="I52" i="17"/>
  <c r="F25" i="17"/>
  <c r="F26" i="17" s="1"/>
  <c r="F32" i="17"/>
  <c r="M72" i="17"/>
  <c r="I68" i="17"/>
  <c r="Q88" i="17"/>
  <c r="O92" i="17"/>
  <c r="G80" i="17"/>
  <c r="N32" i="17"/>
  <c r="N25" i="17"/>
  <c r="N26" i="17" s="1"/>
  <c r="P68" i="17"/>
  <c r="Q72" i="17"/>
  <c r="J80" i="17"/>
  <c r="K64" i="17"/>
  <c r="N44" i="17"/>
  <c r="N64" i="17"/>
  <c r="P100" i="17"/>
  <c r="J48" i="17"/>
  <c r="P88" i="17"/>
  <c r="Q80" i="17"/>
  <c r="O72" i="17"/>
  <c r="G56" i="17"/>
  <c r="F52" i="17"/>
  <c r="K104" i="17"/>
  <c r="H96" i="17"/>
  <c r="F40" i="17"/>
  <c r="L104" i="17"/>
  <c r="G100" i="17"/>
  <c r="I92" i="17"/>
  <c r="L80" i="17"/>
  <c r="M76" i="17"/>
  <c r="F68" i="17"/>
  <c r="K88" i="17"/>
  <c r="J44" i="17"/>
  <c r="H36" i="17"/>
  <c r="O52" i="17"/>
  <c r="J72" i="17"/>
  <c r="K80" i="17"/>
  <c r="Q60" i="17"/>
  <c r="N60" i="17"/>
  <c r="G44" i="17"/>
  <c r="O48" i="17"/>
  <c r="I96" i="17"/>
  <c r="H104" i="17"/>
  <c r="J88" i="17"/>
  <c r="L72" i="17"/>
  <c r="G48" i="17"/>
  <c r="J25" i="17"/>
  <c r="J26" i="17" s="1"/>
  <c r="J32" i="17"/>
  <c r="N92" i="17"/>
  <c r="M52" i="17"/>
  <c r="N36" i="17"/>
  <c r="Q68" i="17"/>
  <c r="M25" i="17"/>
  <c r="M26" i="17" s="1"/>
  <c r="M32" i="17"/>
  <c r="N40" i="17"/>
  <c r="M56" i="17"/>
  <c r="P84" i="17"/>
  <c r="K48" i="17"/>
  <c r="F96" i="17"/>
  <c r="J56" i="17"/>
  <c r="H52" i="17"/>
  <c r="H40" i="17"/>
  <c r="P44" i="17"/>
  <c r="G72" i="17"/>
  <c r="N84" i="17"/>
  <c r="J76" i="17"/>
  <c r="Q76" i="17"/>
  <c r="G92" i="17"/>
  <c r="O100" i="17"/>
  <c r="K60" i="17"/>
  <c r="O36" i="17"/>
  <c r="N96" i="17"/>
  <c r="J100" i="17"/>
  <c r="G96" i="17"/>
  <c r="L64" i="17"/>
  <c r="H100" i="17"/>
  <c r="I40" i="17"/>
  <c r="I88" i="17"/>
  <c r="F44" i="17"/>
  <c r="F76" i="17"/>
  <c r="M96" i="17"/>
  <c r="N52" i="17"/>
  <c r="H32" i="17"/>
  <c r="H25" i="17"/>
  <c r="H26" i="17" s="1"/>
  <c r="H48" i="17"/>
  <c r="M22" i="19"/>
  <c r="M23" i="19" s="1"/>
  <c r="P22" i="19"/>
  <c r="P23" i="19" s="1"/>
  <c r="D32" i="17"/>
  <c r="H72" i="17"/>
  <c r="G60" i="17"/>
  <c r="L56" i="17"/>
  <c r="I36" i="17"/>
  <c r="N100" i="17"/>
  <c r="Q92" i="17"/>
  <c r="M92" i="17"/>
  <c r="K96" i="17"/>
  <c r="Q64" i="17"/>
  <c r="N56" i="17"/>
  <c r="P64" i="17"/>
  <c r="N72" i="17"/>
  <c r="K36" i="17"/>
  <c r="M84" i="17"/>
  <c r="P56" i="17"/>
  <c r="J40" i="17"/>
  <c r="H44" i="17"/>
  <c r="Q44" i="17"/>
  <c r="P72" i="17"/>
  <c r="F84" i="17"/>
  <c r="K40" i="17"/>
  <c r="K100" i="17"/>
  <c r="N76" i="17"/>
  <c r="L48" i="17"/>
  <c r="L25" i="17"/>
  <c r="L26" i="17" s="1"/>
  <c r="L32" i="17"/>
  <c r="I56" i="17"/>
  <c r="L60" i="17"/>
  <c r="K84" i="17"/>
  <c r="O88" i="17"/>
  <c r="J104" i="17"/>
  <c r="N104" i="17"/>
  <c r="F64" i="17"/>
  <c r="Q22" i="19"/>
  <c r="Q23" i="19" s="1"/>
  <c r="M68" i="17"/>
  <c r="M88" i="17"/>
  <c r="J92" i="17"/>
  <c r="H80" i="17"/>
  <c r="L92" i="17"/>
  <c r="O64" i="17"/>
  <c r="M44" i="17"/>
  <c r="P32" i="17"/>
  <c r="P25" i="17"/>
  <c r="P26" i="17" s="1"/>
  <c r="Q96" i="17"/>
  <c r="L40" i="17"/>
  <c r="Q36" i="17"/>
  <c r="P48" i="17"/>
  <c r="J84" i="17"/>
  <c r="K72" i="17"/>
  <c r="I64" i="17"/>
  <c r="M64" i="17"/>
  <c r="G76" i="17"/>
  <c r="L100" i="17"/>
  <c r="J96" i="17"/>
  <c r="L36" i="17"/>
  <c r="O40" i="17"/>
  <c r="K52" i="17"/>
  <c r="I48" i="17"/>
  <c r="H76" i="17"/>
  <c r="F72" i="17"/>
  <c r="O96" i="17"/>
  <c r="J60" i="17"/>
  <c r="N88" i="17"/>
  <c r="L22" i="19"/>
  <c r="L23" i="19" s="1"/>
  <c r="N22" i="19"/>
  <c r="N23" i="19" s="1"/>
  <c r="E32" i="17"/>
  <c r="E25" i="17"/>
  <c r="E44" i="17"/>
  <c r="E56" i="17"/>
  <c r="E100" i="17"/>
  <c r="E48" i="17"/>
  <c r="E80" i="17"/>
  <c r="E68" i="17"/>
  <c r="E104" i="17"/>
  <c r="E76" i="17"/>
  <c r="E52" i="17"/>
  <c r="E84" i="17"/>
  <c r="E72" i="17"/>
  <c r="E40" i="17"/>
  <c r="E88" i="17"/>
  <c r="E96" i="17"/>
  <c r="E36" i="17"/>
  <c r="E64" i="17"/>
  <c r="E60" i="17"/>
  <c r="E92" i="17"/>
  <c r="P25" i="12"/>
  <c r="P26" i="12" s="1"/>
  <c r="Q25" i="12"/>
  <c r="Q26" i="12" s="1"/>
  <c r="M25" i="12"/>
  <c r="M26" i="12" s="1"/>
  <c r="L25" i="12"/>
  <c r="L26" i="12" s="1"/>
  <c r="N25" i="12"/>
  <c r="N26" i="12" s="1"/>
  <c r="O25" i="12"/>
  <c r="O26" i="12" s="1"/>
  <c r="D29" i="19"/>
  <c r="J17" i="19"/>
  <c r="H17" i="19"/>
  <c r="F17" i="19"/>
  <c r="D17" i="19"/>
  <c r="K17" i="19"/>
  <c r="I17" i="19"/>
  <c r="G17" i="19"/>
  <c r="E17" i="19"/>
  <c r="Y7" i="26"/>
  <c r="Y45" i="20"/>
  <c r="Y72" i="20"/>
  <c r="Y31" i="20"/>
  <c r="Y55" i="20"/>
  <c r="Y7" i="20"/>
  <c r="Y62" i="20"/>
  <c r="Y37" i="20"/>
  <c r="Y18" i="20"/>
  <c r="Y41" i="26"/>
  <c r="Y50" i="26"/>
  <c r="I9" i="11" l="1"/>
  <c r="I12" i="11" s="1"/>
  <c r="D64" i="17"/>
  <c r="D36" i="17"/>
  <c r="M9" i="11"/>
  <c r="M12" i="11" s="1"/>
  <c r="D40" i="17"/>
  <c r="D72" i="17"/>
  <c r="D96" i="17"/>
  <c r="P9" i="11"/>
  <c r="P12" i="11" s="1"/>
  <c r="D60" i="17"/>
  <c r="D68" i="17"/>
  <c r="D104" i="17"/>
  <c r="D48" i="17"/>
  <c r="R9" i="11"/>
  <c r="R12" i="11" s="1"/>
  <c r="O9" i="11"/>
  <c r="O12" i="11" s="1"/>
  <c r="D84" i="17"/>
  <c r="D56" i="17"/>
  <c r="Q9" i="11"/>
  <c r="Q12" i="11" s="1"/>
  <c r="N9" i="11"/>
  <c r="N12" i="11" s="1"/>
  <c r="L9" i="11"/>
  <c r="L12" i="11" s="1"/>
  <c r="M17" i="17"/>
  <c r="D25" i="17"/>
  <c r="O17" i="17"/>
  <c r="L17" i="17"/>
  <c r="O6" i="24"/>
  <c r="D44" i="17"/>
  <c r="D76" i="17"/>
  <c r="D92" i="17"/>
  <c r="D100" i="17"/>
  <c r="D88" i="17"/>
  <c r="D80" i="17"/>
  <c r="D52" i="17"/>
  <c r="T14" i="19"/>
  <c r="R17" i="12"/>
  <c r="P14" i="19"/>
  <c r="M19" i="19"/>
  <c r="M21" i="19" s="1"/>
  <c r="J22" i="17"/>
  <c r="M22" i="17"/>
  <c r="H22" i="17"/>
  <c r="R93" i="7"/>
  <c r="R45" i="7"/>
  <c r="R33" i="7"/>
  <c r="R77" i="7"/>
  <c r="R53" i="7"/>
  <c r="R65" i="7"/>
  <c r="R81" i="7"/>
  <c r="R41" i="7"/>
  <c r="R73" i="7"/>
  <c r="R85" i="7"/>
  <c r="R37" i="7"/>
  <c r="R97" i="7"/>
  <c r="R49" i="7"/>
  <c r="R89" i="7"/>
  <c r="R101" i="7"/>
  <c r="R69" i="7"/>
  <c r="R57" i="7"/>
  <c r="R61" i="7"/>
  <c r="R29" i="7"/>
  <c r="R22" i="7"/>
  <c r="M14" i="19"/>
  <c r="H17" i="17"/>
  <c r="O22" i="17"/>
  <c r="G17" i="17"/>
  <c r="L19" i="19"/>
  <c r="L21" i="19" s="1"/>
  <c r="L14" i="19"/>
  <c r="K17" i="17"/>
  <c r="R19" i="19"/>
  <c r="R23" i="19"/>
  <c r="K22" i="17"/>
  <c r="I17" i="17"/>
  <c r="R17" i="17"/>
  <c r="N14" i="19"/>
  <c r="S23" i="19"/>
  <c r="S19" i="19"/>
  <c r="J17" i="17"/>
  <c r="I22" i="17"/>
  <c r="S14" i="19"/>
  <c r="R26" i="12"/>
  <c r="R22" i="12"/>
  <c r="N17" i="17"/>
  <c r="F17" i="17"/>
  <c r="R22" i="17"/>
  <c r="R26" i="17"/>
  <c r="O14" i="19"/>
  <c r="T23" i="19"/>
  <c r="T19" i="19"/>
  <c r="P19" i="19"/>
  <c r="P20" i="19" s="1"/>
  <c r="P17" i="17"/>
  <c r="Q14" i="19"/>
  <c r="Q17" i="17"/>
  <c r="Q22" i="17"/>
  <c r="Q23" i="17" s="1"/>
  <c r="N22" i="17"/>
  <c r="G22" i="17"/>
  <c r="O19" i="19"/>
  <c r="O20" i="19" s="1"/>
  <c r="N19" i="19"/>
  <c r="N21" i="19" s="1"/>
  <c r="I26" i="17"/>
  <c r="O26" i="17"/>
  <c r="F22" i="17"/>
  <c r="L22" i="17"/>
  <c r="Q19" i="19"/>
  <c r="P22" i="17"/>
  <c r="Q22" i="12"/>
  <c r="Q23" i="12" s="1"/>
  <c r="D20" i="12"/>
  <c r="E17" i="17"/>
  <c r="L17" i="12"/>
  <c r="O22" i="12"/>
  <c r="E22" i="17"/>
  <c r="E26" i="17"/>
  <c r="M22" i="12"/>
  <c r="M23" i="12" s="1"/>
  <c r="N22" i="12"/>
  <c r="N24" i="12" s="1"/>
  <c r="P22" i="12"/>
  <c r="L22" i="12"/>
  <c r="L23" i="12" s="1"/>
  <c r="N17" i="12"/>
  <c r="M17" i="12"/>
  <c r="Q17" i="12"/>
  <c r="P17" i="12"/>
  <c r="O17" i="12"/>
  <c r="O81" i="7"/>
  <c r="M53" i="7"/>
  <c r="P33" i="7"/>
  <c r="L53" i="7"/>
  <c r="O49" i="7"/>
  <c r="N45" i="7"/>
  <c r="O93" i="7"/>
  <c r="M65" i="7"/>
  <c r="O69" i="7"/>
  <c r="M57" i="7"/>
  <c r="M81" i="7"/>
  <c r="P93" i="7"/>
  <c r="O73" i="7"/>
  <c r="Q53" i="7"/>
  <c r="P89" i="7"/>
  <c r="M69" i="7"/>
  <c r="Q57" i="7"/>
  <c r="O85" i="7"/>
  <c r="N77" i="7"/>
  <c r="P41" i="7"/>
  <c r="O77" i="7"/>
  <c r="P85" i="7"/>
  <c r="Q93" i="7"/>
  <c r="L81" i="7"/>
  <c r="Q77" i="7"/>
  <c r="N73" i="7"/>
  <c r="N65" i="7"/>
  <c r="P101" i="7"/>
  <c r="O97" i="7"/>
  <c r="M77" i="7"/>
  <c r="P73" i="7"/>
  <c r="M97" i="7"/>
  <c r="O101" i="7"/>
  <c r="M61" i="7"/>
  <c r="M101" i="7"/>
  <c r="M41" i="7"/>
  <c r="L101" i="7"/>
  <c r="O57" i="7"/>
  <c r="Q81" i="7"/>
  <c r="O61" i="7"/>
  <c r="Q29" i="7"/>
  <c r="Q22" i="7"/>
  <c r="N49" i="7"/>
  <c r="M73" i="7"/>
  <c r="Q85" i="7"/>
  <c r="P37" i="7"/>
  <c r="N37" i="7"/>
  <c r="O41" i="7"/>
  <c r="O37" i="7"/>
  <c r="O53" i="7"/>
  <c r="L93" i="7"/>
  <c r="N89" i="7"/>
  <c r="O45" i="7"/>
  <c r="P49" i="7"/>
  <c r="L73" i="7"/>
  <c r="P77" i="7"/>
  <c r="N41" i="7"/>
  <c r="L85" i="7"/>
  <c r="N33" i="7"/>
  <c r="O65" i="7"/>
  <c r="Q73" i="7"/>
  <c r="L49" i="7"/>
  <c r="P61" i="7"/>
  <c r="Q49" i="7"/>
  <c r="N61" i="7"/>
  <c r="L57" i="7"/>
  <c r="L41" i="7"/>
  <c r="P57" i="7"/>
  <c r="M49" i="7"/>
  <c r="Q97" i="7"/>
  <c r="L61" i="7"/>
  <c r="N101" i="7"/>
  <c r="P69" i="7"/>
  <c r="O89" i="7"/>
  <c r="M37" i="7"/>
  <c r="N97" i="7"/>
  <c r="M93" i="7"/>
  <c r="L69" i="7"/>
  <c r="Q41" i="7"/>
  <c r="L89" i="7"/>
  <c r="N29" i="7"/>
  <c r="N22" i="7"/>
  <c r="P45" i="7"/>
  <c r="Q33" i="7"/>
  <c r="L33" i="7"/>
  <c r="Q65" i="7"/>
  <c r="M29" i="7"/>
  <c r="M22" i="7"/>
  <c r="Q69" i="7"/>
  <c r="Q101" i="7"/>
  <c r="Q37" i="7"/>
  <c r="M89" i="7"/>
  <c r="P65" i="7"/>
  <c r="M85" i="7"/>
  <c r="M33" i="7"/>
  <c r="N85" i="7"/>
  <c r="P53" i="7"/>
  <c r="Q45" i="7"/>
  <c r="L37" i="7"/>
  <c r="Q89" i="7"/>
  <c r="O33" i="7"/>
  <c r="P81" i="7"/>
  <c r="N93" i="7"/>
  <c r="L65" i="7"/>
  <c r="N53" i="7"/>
  <c r="P22" i="7"/>
  <c r="P29" i="7"/>
  <c r="M45" i="7"/>
  <c r="L45" i="7"/>
  <c r="N57" i="7"/>
  <c r="N69" i="7"/>
  <c r="O22" i="7"/>
  <c r="O29" i="7"/>
  <c r="Q61" i="7"/>
  <c r="L97" i="7"/>
  <c r="L77" i="7"/>
  <c r="L22" i="7"/>
  <c r="L29" i="7"/>
  <c r="N81" i="7"/>
  <c r="P97" i="7"/>
  <c r="D93" i="19"/>
  <c r="D77" i="19"/>
  <c r="D61" i="19"/>
  <c r="D45" i="19"/>
  <c r="E22" i="19"/>
  <c r="E23" i="19" s="1"/>
  <c r="G22" i="19"/>
  <c r="G23" i="19" s="1"/>
  <c r="I22" i="19"/>
  <c r="I23" i="19" s="1"/>
  <c r="K22" i="19"/>
  <c r="K23" i="19" s="1"/>
  <c r="D97" i="19"/>
  <c r="D81" i="19"/>
  <c r="D65" i="19"/>
  <c r="D49" i="19"/>
  <c r="D22" i="19"/>
  <c r="D23" i="19" s="1"/>
  <c r="D33" i="19"/>
  <c r="F22" i="19"/>
  <c r="F23" i="19" s="1"/>
  <c r="H22" i="19"/>
  <c r="H23" i="19" s="1"/>
  <c r="J22" i="19"/>
  <c r="J23" i="19" s="1"/>
  <c r="D101" i="19"/>
  <c r="D85" i="19"/>
  <c r="D69" i="19"/>
  <c r="D53" i="19"/>
  <c r="D37" i="19"/>
  <c r="D89" i="19"/>
  <c r="D73" i="19"/>
  <c r="D57" i="19"/>
  <c r="D41" i="19"/>
  <c r="V101" i="24"/>
  <c r="V138" i="20"/>
  <c r="V138" i="27"/>
  <c r="V118" i="20"/>
  <c r="V118" i="27"/>
  <c r="V93" i="20"/>
  <c r="V93" i="27"/>
  <c r="V125" i="20"/>
  <c r="V125" i="27"/>
  <c r="V110" i="20"/>
  <c r="V110" i="27"/>
  <c r="V102" i="20"/>
  <c r="V102" i="27"/>
  <c r="V144" i="20"/>
  <c r="V81" i="20"/>
  <c r="V81" i="27"/>
  <c r="V73" i="26"/>
  <c r="V112" i="26"/>
  <c r="V85" i="26"/>
  <c r="V34" i="26"/>
  <c r="V65" i="26"/>
  <c r="V99" i="26"/>
  <c r="V29" i="26"/>
  <c r="V124" i="26"/>
  <c r="V93" i="26"/>
  <c r="V17" i="26"/>
  <c r="V56" i="26"/>
  <c r="V106" i="26"/>
  <c r="T16" i="19" l="1"/>
  <c r="T15" i="19"/>
  <c r="G9" i="11"/>
  <c r="G12" i="11" s="1"/>
  <c r="J9" i="11"/>
  <c r="J12" i="11" s="1"/>
  <c r="H9" i="11"/>
  <c r="H12" i="11" s="1"/>
  <c r="E9" i="11"/>
  <c r="E12" i="11" s="1"/>
  <c r="K9" i="11"/>
  <c r="K12" i="11" s="1"/>
  <c r="D9" i="11"/>
  <c r="D12" i="11" s="1"/>
  <c r="F9" i="11"/>
  <c r="F12" i="11" s="1"/>
  <c r="E19" i="17"/>
  <c r="L19" i="17"/>
  <c r="Q19" i="17"/>
  <c r="O18" i="17"/>
  <c r="N18" i="17"/>
  <c r="D17" i="17"/>
  <c r="D22" i="17"/>
  <c r="D23" i="17" s="1"/>
  <c r="M18" i="17"/>
  <c r="M19" i="17"/>
  <c r="L23" i="17"/>
  <c r="F23" i="17"/>
  <c r="I24" i="17"/>
  <c r="K24" i="17"/>
  <c r="O24" i="17"/>
  <c r="H24" i="17"/>
  <c r="M24" i="17"/>
  <c r="J24" i="17"/>
  <c r="D26" i="17"/>
  <c r="O19" i="17"/>
  <c r="L18" i="17"/>
  <c r="L19" i="12"/>
  <c r="R19" i="12"/>
  <c r="H19" i="17"/>
  <c r="M15" i="19"/>
  <c r="P16" i="19"/>
  <c r="M20" i="19"/>
  <c r="P15" i="19"/>
  <c r="R18" i="12"/>
  <c r="H18" i="17"/>
  <c r="N23" i="12"/>
  <c r="G18" i="17"/>
  <c r="M23" i="17"/>
  <c r="Q16" i="19"/>
  <c r="M24" i="12"/>
  <c r="J23" i="17"/>
  <c r="P18" i="17"/>
  <c r="Q18" i="17"/>
  <c r="M16" i="19"/>
  <c r="I23" i="17"/>
  <c r="J19" i="17"/>
  <c r="N19" i="17"/>
  <c r="L20" i="19"/>
  <c r="P19" i="17"/>
  <c r="I19" i="17"/>
  <c r="G19" i="17"/>
  <c r="K23" i="17"/>
  <c r="O23" i="17"/>
  <c r="I18" i="17"/>
  <c r="H23" i="17"/>
  <c r="J18" i="17"/>
  <c r="N20" i="19"/>
  <c r="O16" i="19"/>
  <c r="R20" i="19"/>
  <c r="R21" i="19"/>
  <c r="F19" i="17"/>
  <c r="F18" i="17"/>
  <c r="R23" i="12"/>
  <c r="R24" i="12"/>
  <c r="N15" i="19"/>
  <c r="N16" i="19"/>
  <c r="K18" i="17"/>
  <c r="K19" i="17"/>
  <c r="O15" i="19"/>
  <c r="R19" i="17"/>
  <c r="R18" i="17"/>
  <c r="Q15" i="19"/>
  <c r="S16" i="19"/>
  <c r="S15" i="19"/>
  <c r="R19" i="7"/>
  <c r="R23" i="7"/>
  <c r="L16" i="19"/>
  <c r="R14" i="7"/>
  <c r="L15" i="19"/>
  <c r="P21" i="19"/>
  <c r="T20" i="19"/>
  <c r="T21" i="19"/>
  <c r="R24" i="17"/>
  <c r="R23" i="17"/>
  <c r="S20" i="19"/>
  <c r="S21" i="19"/>
  <c r="F24" i="17"/>
  <c r="O21" i="19"/>
  <c r="L24" i="17"/>
  <c r="Q24" i="12"/>
  <c r="Q24" i="17"/>
  <c r="E18" i="17"/>
  <c r="P24" i="17"/>
  <c r="P23" i="17"/>
  <c r="Q21" i="19"/>
  <c r="Q20" i="19"/>
  <c r="G24" i="17"/>
  <c r="G23" i="17"/>
  <c r="N24" i="17"/>
  <c r="N23" i="17"/>
  <c r="L18" i="12"/>
  <c r="L14" i="7"/>
  <c r="O24" i="12"/>
  <c r="O23" i="12"/>
  <c r="E23" i="17"/>
  <c r="E24" i="17"/>
  <c r="P23" i="12"/>
  <c r="P24" i="12"/>
  <c r="M14" i="7"/>
  <c r="Q18" i="12"/>
  <c r="Q19" i="12"/>
  <c r="P14" i="7"/>
  <c r="N18" i="12"/>
  <c r="N19" i="12"/>
  <c r="L24" i="12"/>
  <c r="O19" i="12"/>
  <c r="O18" i="12"/>
  <c r="P18" i="12"/>
  <c r="P19" i="12"/>
  <c r="M19" i="12"/>
  <c r="M18" i="12"/>
  <c r="N14" i="7"/>
  <c r="O14" i="7"/>
  <c r="Q14" i="7"/>
  <c r="L19" i="7"/>
  <c r="L23" i="7"/>
  <c r="O19" i="7"/>
  <c r="O23" i="7"/>
  <c r="P19" i="7"/>
  <c r="P23" i="7"/>
  <c r="M19" i="7"/>
  <c r="M23" i="7"/>
  <c r="N19" i="7"/>
  <c r="N23" i="7"/>
  <c r="Q23" i="7"/>
  <c r="Q19" i="7"/>
  <c r="K14" i="19"/>
  <c r="J14" i="19"/>
  <c r="H14" i="19"/>
  <c r="E14" i="19"/>
  <c r="G14" i="19"/>
  <c r="D14" i="19"/>
  <c r="D19" i="19"/>
  <c r="D21" i="19" s="1"/>
  <c r="H19" i="19"/>
  <c r="H20" i="19" s="1"/>
  <c r="K19" i="19"/>
  <c r="K20" i="19" s="1"/>
  <c r="I19" i="19"/>
  <c r="I20" i="19" s="1"/>
  <c r="G19" i="19"/>
  <c r="G20" i="19" s="1"/>
  <c r="E19" i="19"/>
  <c r="E21" i="19" s="1"/>
  <c r="F14" i="19"/>
  <c r="I14" i="19"/>
  <c r="J19" i="19"/>
  <c r="J21" i="19" s="1"/>
  <c r="F19" i="19"/>
  <c r="F21" i="19" s="1"/>
  <c r="X101" i="24"/>
  <c r="W101" i="24"/>
  <c r="V7" i="26"/>
  <c r="X144" i="20"/>
  <c r="X93" i="20"/>
  <c r="V45" i="20"/>
  <c r="X81" i="20"/>
  <c r="V18" i="20"/>
  <c r="V37" i="20"/>
  <c r="V31" i="20"/>
  <c r="X118" i="20"/>
  <c r="W81" i="20"/>
  <c r="V55" i="20"/>
  <c r="V72" i="20"/>
  <c r="V62" i="20"/>
  <c r="W144" i="20"/>
  <c r="W110" i="20"/>
  <c r="W93" i="20"/>
  <c r="X125" i="20"/>
  <c r="X110" i="20"/>
  <c r="V7" i="20"/>
  <c r="W125" i="20"/>
  <c r="W138" i="20"/>
  <c r="W138" i="27"/>
  <c r="W118" i="20"/>
  <c r="W102" i="20"/>
  <c r="X138" i="20"/>
  <c r="X138" i="27"/>
  <c r="X102" i="20"/>
  <c r="X85" i="26"/>
  <c r="W56" i="26"/>
  <c r="W29" i="26"/>
  <c r="V41" i="26"/>
  <c r="W50" i="26"/>
  <c r="X93" i="26"/>
  <c r="X106" i="26"/>
  <c r="W17" i="26"/>
  <c r="X41" i="26"/>
  <c r="X17" i="26"/>
  <c r="G18" i="26" s="1"/>
  <c r="M18" i="26"/>
  <c r="W65" i="26"/>
  <c r="L16" i="26"/>
  <c r="L25" i="26" s="1"/>
  <c r="E16" i="26"/>
  <c r="E24" i="26" s="1"/>
  <c r="I16" i="26"/>
  <c r="I25" i="26" s="1"/>
  <c r="F16" i="26"/>
  <c r="L23" i="26"/>
  <c r="L32" i="26"/>
  <c r="E27" i="26"/>
  <c r="I23" i="26"/>
  <c r="F21" i="26"/>
  <c r="F23" i="26"/>
  <c r="W99" i="26"/>
  <c r="X124" i="26"/>
  <c r="W73" i="26"/>
  <c r="W124" i="26"/>
  <c r="K16" i="26"/>
  <c r="E19" i="26"/>
  <c r="N16" i="26"/>
  <c r="G123" i="26"/>
  <c r="L123" i="26"/>
  <c r="L126" i="26"/>
  <c r="I123" i="26"/>
  <c r="L27" i="26"/>
  <c r="K32" i="26"/>
  <c r="K26" i="26"/>
  <c r="E23" i="26"/>
  <c r="I26" i="26"/>
  <c r="N32" i="26"/>
  <c r="F26" i="26"/>
  <c r="I127" i="26"/>
  <c r="X99" i="26"/>
  <c r="G100" i="26"/>
  <c r="H100" i="26"/>
  <c r="L19" i="26"/>
  <c r="M16" i="26"/>
  <c r="N125" i="26"/>
  <c r="X56" i="26"/>
  <c r="W112" i="26"/>
  <c r="L58" i="26"/>
  <c r="N100" i="26"/>
  <c r="J98" i="26"/>
  <c r="F58" i="26"/>
  <c r="W85" i="26"/>
  <c r="F55" i="26"/>
  <c r="X112" i="26"/>
  <c r="G111" i="26"/>
  <c r="E57" i="26"/>
  <c r="H55" i="26"/>
  <c r="N113" i="26"/>
  <c r="H60" i="26"/>
  <c r="I58" i="26"/>
  <c r="I114" i="26"/>
  <c r="M100" i="26"/>
  <c r="I19" i="26"/>
  <c r="E18" i="26"/>
  <c r="I86" i="26"/>
  <c r="K86" i="26"/>
  <c r="E87" i="26"/>
  <c r="F111" i="26"/>
  <c r="I111" i="26"/>
  <c r="H62" i="26"/>
  <c r="H19" i="26"/>
  <c r="M125" i="26"/>
  <c r="G125" i="26"/>
  <c r="I126" i="26"/>
  <c r="L26" i="26"/>
  <c r="K25" i="26"/>
  <c r="E21" i="26"/>
  <c r="N21" i="26"/>
  <c r="F25" i="26"/>
  <c r="G127" i="26"/>
  <c r="W93" i="26"/>
  <c r="J55" i="26"/>
  <c r="F101" i="26"/>
  <c r="E98" i="26"/>
  <c r="N18" i="26"/>
  <c r="K111" i="26"/>
  <c r="M92" i="26"/>
  <c r="H16" i="26"/>
  <c r="I87" i="26"/>
  <c r="J87" i="26"/>
  <c r="M114" i="26"/>
  <c r="G115" i="26"/>
  <c r="K125" i="26"/>
  <c r="I125" i="26"/>
  <c r="X34" i="26"/>
  <c r="X29" i="26"/>
  <c r="G57" i="26"/>
  <c r="F98" i="26"/>
  <c r="X73" i="26"/>
  <c r="I72" i="26"/>
  <c r="G19" i="26"/>
  <c r="F86" i="26"/>
  <c r="G114" i="26"/>
  <c r="E123" i="26"/>
  <c r="E127" i="26" s="1"/>
  <c r="L125" i="26"/>
  <c r="L72" i="26"/>
  <c r="L24" i="26"/>
  <c r="E26" i="26"/>
  <c r="N25" i="26"/>
  <c r="M27" i="26"/>
  <c r="L78" i="26"/>
  <c r="H31" i="26"/>
  <c r="E84" i="26"/>
  <c r="K123" i="26"/>
  <c r="F95" i="26"/>
  <c r="M75" i="26"/>
  <c r="H24" i="26"/>
  <c r="N26" i="26"/>
  <c r="L127" i="26"/>
  <c r="J18" i="26"/>
  <c r="M21" i="26"/>
  <c r="L101" i="26"/>
  <c r="F113" i="26"/>
  <c r="L22" i="26"/>
  <c r="M24" i="26"/>
  <c r="K55" i="26"/>
  <c r="E102" i="26"/>
  <c r="I55" i="26"/>
  <c r="N57" i="26"/>
  <c r="K126" i="26"/>
  <c r="N114" i="26"/>
  <c r="J62" i="26"/>
  <c r="J16" i="26"/>
  <c r="L84" i="26"/>
  <c r="J111" i="26"/>
  <c r="M123" i="26"/>
  <c r="F123" i="26"/>
  <c r="F127" i="26" s="1"/>
  <c r="I95" i="26"/>
  <c r="J76" i="26"/>
  <c r="E72" i="26"/>
  <c r="K21" i="26"/>
  <c r="L88" i="26"/>
  <c r="E91" i="26"/>
  <c r="I115" i="26"/>
  <c r="N23" i="26"/>
  <c r="F22" i="26"/>
  <c r="X65" i="26"/>
  <c r="E101" i="26"/>
  <c r="J67" i="26"/>
  <c r="J114" i="26"/>
  <c r="J19" i="26"/>
  <c r="I61" i="26"/>
  <c r="K76" i="26"/>
  <c r="I67" i="26"/>
  <c r="I78" i="26"/>
  <c r="E22" i="26"/>
  <c r="F27" i="26"/>
  <c r="M72" i="26"/>
  <c r="K27" i="26"/>
  <c r="M127" i="26"/>
  <c r="N28" i="26"/>
  <c r="F72" i="26"/>
  <c r="K87" i="26"/>
  <c r="F18" i="26"/>
  <c r="M66" i="26"/>
  <c r="J22" i="26"/>
  <c r="M78" i="26"/>
  <c r="J57" i="26"/>
  <c r="G28" i="26"/>
  <c r="M101" i="26"/>
  <c r="M126" i="26"/>
  <c r="I113" i="26"/>
  <c r="J103" i="26"/>
  <c r="L111" i="26"/>
  <c r="F28" i="26"/>
  <c r="F19" i="26"/>
  <c r="J84" i="26"/>
  <c r="E104" i="26"/>
  <c r="N123" i="26"/>
  <c r="F102" i="26"/>
  <c r="I60" i="26"/>
  <c r="N92" i="26"/>
  <c r="K72" i="26"/>
  <c r="J72" i="26"/>
  <c r="G64" i="26"/>
  <c r="L115" i="26"/>
  <c r="H26" i="26"/>
  <c r="J24" i="26"/>
  <c r="L91" i="26"/>
  <c r="I32" i="26"/>
  <c r="N27" i="26"/>
  <c r="F32" i="26"/>
  <c r="K60" i="26"/>
  <c r="L55" i="26"/>
  <c r="M98" i="26"/>
  <c r="M84" i="26"/>
  <c r="H63" i="26"/>
  <c r="F126" i="26"/>
  <c r="F92" i="26"/>
  <c r="H72" i="26"/>
  <c r="K66" i="26"/>
  <c r="M96" i="26"/>
  <c r="I27" i="26"/>
  <c r="G68" i="26"/>
  <c r="L30" i="26"/>
  <c r="E95" i="26"/>
  <c r="H67" i="26"/>
  <c r="E25" i="26"/>
  <c r="J126" i="26"/>
  <c r="L95" i="26"/>
  <c r="G126" i="26"/>
  <c r="E76" i="26"/>
  <c r="E32" i="26"/>
  <c r="E89" i="26"/>
  <c r="J115" i="26"/>
  <c r="I22" i="26"/>
  <c r="E58" i="26"/>
  <c r="W106" i="26"/>
  <c r="J92" i="26"/>
  <c r="I94" i="26"/>
  <c r="E30" i="26"/>
  <c r="L105" i="26"/>
  <c r="E86" i="26"/>
  <c r="H61" i="26"/>
  <c r="J123" i="26"/>
  <c r="J127" i="26" s="1"/>
  <c r="I59" i="26"/>
  <c r="G92" i="26"/>
  <c r="N76" i="26"/>
  <c r="F75" i="26"/>
  <c r="N67" i="26"/>
  <c r="L59" i="26"/>
  <c r="M102" i="26"/>
  <c r="H22" i="26"/>
  <c r="J25" i="26"/>
  <c r="J88" i="26"/>
  <c r="I21" i="26"/>
  <c r="N24" i="26"/>
  <c r="F24" i="26"/>
  <c r="K77" i="26"/>
  <c r="W34" i="26"/>
  <c r="J100" i="26"/>
  <c r="J31" i="26"/>
  <c r="K95" i="26"/>
  <c r="M19" i="26"/>
  <c r="I64" i="26"/>
  <c r="L21" i="26"/>
  <c r="H25" i="26"/>
  <c r="M26" i="26"/>
  <c r="J77" i="26"/>
  <c r="I31" i="26"/>
  <c r="L18" i="26"/>
  <c r="F57" i="26"/>
  <c r="H101" i="26"/>
  <c r="G16" i="26"/>
  <c r="K84" i="26"/>
  <c r="H113" i="26"/>
  <c r="E125" i="26"/>
  <c r="J26" i="26"/>
  <c r="I24" i="26"/>
  <c r="M77" i="26"/>
  <c r="E28" i="26"/>
  <c r="V50" i="26"/>
  <c r="N19" i="26"/>
  <c r="N86" i="26"/>
  <c r="H66" i="26"/>
  <c r="K23" i="26"/>
  <c r="M90" i="26"/>
  <c r="K18" i="26"/>
  <c r="H18" i="26"/>
  <c r="K19" i="26"/>
  <c r="I18" i="26"/>
  <c r="E64" i="26"/>
  <c r="N66" i="26"/>
  <c r="J64" i="26"/>
  <c r="F100" i="26"/>
  <c r="G101" i="26"/>
  <c r="L98" i="26"/>
  <c r="K100" i="26"/>
  <c r="N98" i="26"/>
  <c r="K101" i="26"/>
  <c r="G98" i="26"/>
  <c r="J101" i="26"/>
  <c r="N101" i="26"/>
  <c r="I98" i="26"/>
  <c r="N72" i="26"/>
  <c r="G75" i="26"/>
  <c r="L75" i="26"/>
  <c r="H76" i="26"/>
  <c r="L76" i="26"/>
  <c r="H75" i="26"/>
  <c r="I75" i="26"/>
  <c r="K75" i="26"/>
  <c r="M76" i="26"/>
  <c r="E126" i="26"/>
  <c r="N126" i="26"/>
  <c r="H123" i="26"/>
  <c r="F125" i="26"/>
  <c r="H126" i="26"/>
  <c r="H125" i="26"/>
  <c r="J125" i="26"/>
  <c r="K22" i="26"/>
  <c r="K24" i="26"/>
  <c r="N22" i="26"/>
  <c r="E100" i="26"/>
  <c r="L100" i="26"/>
  <c r="I101" i="26"/>
  <c r="K98" i="26"/>
  <c r="H98" i="26"/>
  <c r="I100" i="26"/>
  <c r="M32" i="26"/>
  <c r="M25" i="26"/>
  <c r="M23" i="26"/>
  <c r="M22" i="26"/>
  <c r="N58" i="26"/>
  <c r="I57" i="26"/>
  <c r="H57" i="26"/>
  <c r="K57" i="26"/>
  <c r="M57" i="26"/>
  <c r="K58" i="26"/>
  <c r="J58" i="26"/>
  <c r="G58" i="26"/>
  <c r="M58" i="26"/>
  <c r="L57" i="26"/>
  <c r="H58" i="26"/>
  <c r="G55" i="26"/>
  <c r="E55" i="26"/>
  <c r="N55" i="26"/>
  <c r="M55" i="26"/>
  <c r="G113" i="26"/>
  <c r="M113" i="26"/>
  <c r="N111" i="26"/>
  <c r="E111" i="26"/>
  <c r="H111" i="26"/>
  <c r="K113" i="26"/>
  <c r="H114" i="26"/>
  <c r="M111" i="26"/>
  <c r="K114" i="26"/>
  <c r="J113" i="26"/>
  <c r="F114" i="26"/>
  <c r="L114" i="26"/>
  <c r="L113" i="26"/>
  <c r="E113" i="26"/>
  <c r="E114" i="26"/>
  <c r="J102" i="26"/>
  <c r="J104" i="26"/>
  <c r="G86" i="26"/>
  <c r="F84" i="26"/>
  <c r="I84" i="26"/>
  <c r="L87" i="26"/>
  <c r="F87" i="26"/>
  <c r="G87" i="26"/>
  <c r="H86" i="26"/>
  <c r="N87" i="26"/>
  <c r="H84" i="26"/>
  <c r="M86" i="26"/>
  <c r="L86" i="26"/>
  <c r="M87" i="26"/>
  <c r="J86" i="26"/>
  <c r="G84" i="26"/>
  <c r="N84" i="26"/>
  <c r="H87" i="26"/>
  <c r="F61" i="26"/>
  <c r="F59" i="26"/>
  <c r="F60" i="26"/>
  <c r="F63" i="26"/>
  <c r="F62" i="26"/>
  <c r="H59" i="26"/>
  <c r="M95" i="26"/>
  <c r="H92" i="26"/>
  <c r="I92" i="26"/>
  <c r="J94" i="26"/>
  <c r="K92" i="26"/>
  <c r="G94" i="26"/>
  <c r="J95" i="26"/>
  <c r="M94" i="26"/>
  <c r="N94" i="26"/>
  <c r="H94" i="26"/>
  <c r="K94" i="26"/>
  <c r="E92" i="26"/>
  <c r="L92" i="26"/>
  <c r="E94" i="26"/>
  <c r="G95" i="26"/>
  <c r="F94" i="26"/>
  <c r="H95" i="26"/>
  <c r="N95" i="26"/>
  <c r="L94" i="26"/>
  <c r="J61" i="26"/>
  <c r="J63" i="26"/>
  <c r="J59" i="26"/>
  <c r="J60" i="26"/>
  <c r="E103" i="26"/>
  <c r="K115" i="26"/>
  <c r="M97" i="26"/>
  <c r="H23" i="26"/>
  <c r="H21" i="26"/>
  <c r="H32" i="26"/>
  <c r="H27" i="26"/>
  <c r="H30" i="26"/>
  <c r="H28" i="26"/>
  <c r="K28" i="26"/>
  <c r="K30" i="26"/>
  <c r="J30" i="26"/>
  <c r="G30" i="26"/>
  <c r="I30" i="26"/>
  <c r="G31" i="26"/>
  <c r="L31" i="26"/>
  <c r="M30" i="26"/>
  <c r="K31" i="26"/>
  <c r="M31" i="26"/>
  <c r="N31" i="26"/>
  <c r="N30" i="26"/>
  <c r="M28" i="26"/>
  <c r="E31" i="26"/>
  <c r="F30" i="26"/>
  <c r="F31" i="26"/>
  <c r="J28" i="26"/>
  <c r="L28" i="26"/>
  <c r="F104" i="26"/>
  <c r="F103" i="26"/>
  <c r="G76" i="26"/>
  <c r="J75" i="26"/>
  <c r="I76" i="26"/>
  <c r="G72" i="26"/>
  <c r="N75" i="26"/>
  <c r="F76" i="26"/>
  <c r="E75" i="26"/>
  <c r="E88" i="26"/>
  <c r="E90" i="26"/>
  <c r="K127" i="26"/>
  <c r="K61" i="26"/>
  <c r="K63" i="26"/>
  <c r="K62" i="26"/>
  <c r="K59" i="26"/>
  <c r="I63" i="26"/>
  <c r="I62" i="26"/>
  <c r="J21" i="26"/>
  <c r="J23" i="26"/>
  <c r="J32" i="26"/>
  <c r="J27" i="26"/>
  <c r="L90" i="26"/>
  <c r="L89" i="26"/>
  <c r="E78" i="26"/>
  <c r="E77" i="26"/>
  <c r="M67" i="26"/>
  <c r="G66" i="26"/>
  <c r="L67" i="26"/>
  <c r="L64" i="26"/>
  <c r="N64" i="26"/>
  <c r="F66" i="26"/>
  <c r="K67" i="26"/>
  <c r="K64" i="26"/>
  <c r="F67" i="26"/>
  <c r="E66" i="26"/>
  <c r="H64" i="26"/>
  <c r="G67" i="26"/>
  <c r="J66" i="26"/>
  <c r="F64" i="26"/>
  <c r="E67" i="26"/>
  <c r="I66" i="26"/>
  <c r="M64" i="26"/>
  <c r="L66" i="26"/>
  <c r="F78" i="26"/>
  <c r="F77" i="26"/>
  <c r="J89" i="26"/>
  <c r="J90" i="26"/>
  <c r="N127" i="26"/>
  <c r="N97" i="26"/>
  <c r="N96" i="26"/>
  <c r="J78" i="26"/>
  <c r="L63" i="26"/>
  <c r="L60" i="26"/>
  <c r="L62" i="26"/>
  <c r="L61" i="26"/>
  <c r="M104" i="26"/>
  <c r="M103" i="26"/>
  <c r="M91" i="26"/>
  <c r="M89" i="26"/>
  <c r="M88" i="26"/>
  <c r="F97" i="26"/>
  <c r="F96" i="26"/>
  <c r="H77" i="26"/>
  <c r="H78" i="26"/>
  <c r="J108" i="26"/>
  <c r="K108" i="26"/>
  <c r="J107" i="26"/>
  <c r="E108" i="26"/>
  <c r="M107" i="26"/>
  <c r="E105" i="26"/>
  <c r="H108" i="26"/>
  <c r="I105" i="26"/>
  <c r="H105" i="26"/>
  <c r="M105" i="26"/>
  <c r="J105" i="26"/>
  <c r="G108" i="26"/>
  <c r="K105" i="26"/>
  <c r="N107" i="26"/>
  <c r="F105" i="26"/>
  <c r="K107" i="26"/>
  <c r="L107" i="26"/>
  <c r="F108" i="26"/>
  <c r="G105" i="26"/>
  <c r="N108" i="26"/>
  <c r="F107" i="26"/>
  <c r="E107" i="26"/>
  <c r="H107" i="26"/>
  <c r="L108" i="26"/>
  <c r="G107" i="26"/>
  <c r="I107" i="26"/>
  <c r="N105" i="26"/>
  <c r="I108" i="26"/>
  <c r="M108" i="26"/>
  <c r="J96" i="26"/>
  <c r="L110" i="26"/>
  <c r="L109" i="26"/>
  <c r="G96" i="26"/>
  <c r="M36" i="26"/>
  <c r="J33" i="26"/>
  <c r="I35" i="26"/>
  <c r="F36" i="26"/>
  <c r="K36" i="26"/>
  <c r="H33" i="26"/>
  <c r="K35" i="26"/>
  <c r="J35" i="26"/>
  <c r="I36" i="26"/>
  <c r="G35" i="26"/>
  <c r="N35" i="26"/>
  <c r="J36" i="26"/>
  <c r="F33" i="26"/>
  <c r="H35" i="26"/>
  <c r="I33" i="26"/>
  <c r="E36" i="26"/>
  <c r="L35" i="26"/>
  <c r="M33" i="26"/>
  <c r="N33" i="26"/>
  <c r="H36" i="26"/>
  <c r="G33" i="26"/>
  <c r="K33" i="26"/>
  <c r="N36" i="26"/>
  <c r="L36" i="26"/>
  <c r="L33" i="26"/>
  <c r="F35" i="26"/>
  <c r="G36" i="26"/>
  <c r="E33" i="26"/>
  <c r="E35" i="26"/>
  <c r="M35" i="26"/>
  <c r="I68" i="26"/>
  <c r="G21" i="26"/>
  <c r="G27" i="26"/>
  <c r="G23" i="26"/>
  <c r="G22" i="26"/>
  <c r="G32" i="26"/>
  <c r="G24" i="26"/>
  <c r="G25" i="26"/>
  <c r="G26" i="26"/>
  <c r="K90" i="26"/>
  <c r="K88" i="26"/>
  <c r="K89" i="26"/>
  <c r="K91" i="26"/>
  <c r="E68" i="26"/>
  <c r="J68" i="26"/>
  <c r="L104" i="26"/>
  <c r="L102" i="26"/>
  <c r="L103" i="26"/>
  <c r="N103" i="26"/>
  <c r="N102" i="26"/>
  <c r="N104" i="26"/>
  <c r="G103" i="26"/>
  <c r="G104" i="26"/>
  <c r="G102" i="26"/>
  <c r="I104" i="26"/>
  <c r="I103" i="26"/>
  <c r="I102" i="26"/>
  <c r="N77" i="26"/>
  <c r="N78" i="26"/>
  <c r="H127" i="26"/>
  <c r="K102" i="26"/>
  <c r="K104" i="26"/>
  <c r="K103" i="26"/>
  <c r="H103" i="26"/>
  <c r="H102" i="26"/>
  <c r="G61" i="26"/>
  <c r="G60" i="26"/>
  <c r="G63" i="26"/>
  <c r="G59" i="26"/>
  <c r="G62" i="26"/>
  <c r="E61" i="26"/>
  <c r="E62" i="26"/>
  <c r="E59" i="26"/>
  <c r="E60" i="26"/>
  <c r="E63" i="26"/>
  <c r="N60" i="26"/>
  <c r="N62" i="26"/>
  <c r="N61" i="26"/>
  <c r="N63" i="26"/>
  <c r="N59" i="26"/>
  <c r="M60" i="26"/>
  <c r="M59" i="26"/>
  <c r="M61" i="26"/>
  <c r="M62" i="26"/>
  <c r="M63" i="26"/>
  <c r="N115" i="26"/>
  <c r="E115" i="26"/>
  <c r="H115" i="26"/>
  <c r="M115" i="26"/>
  <c r="F91" i="26"/>
  <c r="F89" i="26"/>
  <c r="F88" i="26"/>
  <c r="F90" i="26"/>
  <c r="I90" i="26"/>
  <c r="I89" i="26"/>
  <c r="I88" i="26"/>
  <c r="I91" i="26"/>
  <c r="H89" i="26"/>
  <c r="H88" i="26"/>
  <c r="H90" i="26"/>
  <c r="H91" i="26"/>
  <c r="G90" i="26"/>
  <c r="G91" i="26"/>
  <c r="G88" i="26"/>
  <c r="G89" i="26"/>
  <c r="N91" i="26"/>
  <c r="N88" i="26"/>
  <c r="N89" i="26"/>
  <c r="N90" i="26"/>
  <c r="H96" i="26"/>
  <c r="H97" i="26"/>
  <c r="I96" i="26"/>
  <c r="I97" i="26"/>
  <c r="K97" i="26"/>
  <c r="E97" i="26"/>
  <c r="E96" i="26"/>
  <c r="L97" i="26"/>
  <c r="L96" i="26"/>
  <c r="G78" i="26"/>
  <c r="G77" i="26"/>
  <c r="N68" i="26"/>
  <c r="M68" i="26"/>
  <c r="E110" i="26"/>
  <c r="E109" i="26"/>
  <c r="I110" i="26"/>
  <c r="I109" i="26"/>
  <c r="H109" i="26"/>
  <c r="H110" i="26"/>
  <c r="M110" i="26"/>
  <c r="M109" i="26"/>
  <c r="J109" i="26"/>
  <c r="J110" i="26"/>
  <c r="K110" i="26"/>
  <c r="F110" i="26"/>
  <c r="F109" i="26"/>
  <c r="G109" i="26"/>
  <c r="G110" i="26"/>
  <c r="N110" i="26"/>
  <c r="N109" i="26"/>
  <c r="J39" i="26"/>
  <c r="J38" i="26"/>
  <c r="J37" i="26"/>
  <c r="H38" i="26"/>
  <c r="H39" i="26"/>
  <c r="H37" i="26"/>
  <c r="F39" i="26"/>
  <c r="F38" i="26"/>
  <c r="F37" i="26"/>
  <c r="I37" i="26"/>
  <c r="I39" i="26"/>
  <c r="I38" i="26"/>
  <c r="M39" i="26"/>
  <c r="M37" i="26"/>
  <c r="M38" i="26"/>
  <c r="N37" i="26"/>
  <c r="N38" i="26"/>
  <c r="N39" i="26"/>
  <c r="G37" i="26"/>
  <c r="G39" i="26"/>
  <c r="G38" i="26"/>
  <c r="K38" i="26"/>
  <c r="K39" i="26"/>
  <c r="K37" i="26"/>
  <c r="L39" i="26"/>
  <c r="L38" i="26"/>
  <c r="L37" i="26"/>
  <c r="E38" i="26"/>
  <c r="E39" i="26"/>
  <c r="E37" i="26"/>
  <c r="L141" i="27"/>
  <c r="N140" i="27"/>
  <c r="F140" i="27"/>
  <c r="N137" i="27"/>
  <c r="F137" i="27"/>
  <c r="K141" i="27"/>
  <c r="M140" i="27"/>
  <c r="E140" i="27"/>
  <c r="M137" i="27"/>
  <c r="E137" i="27"/>
  <c r="J141" i="27"/>
  <c r="L140" i="27"/>
  <c r="F141" i="27"/>
  <c r="I137" i="27"/>
  <c r="N141" i="27"/>
  <c r="K137" i="27"/>
  <c r="G141" i="27"/>
  <c r="M141" i="27"/>
  <c r="G140" i="27"/>
  <c r="H140" i="27"/>
  <c r="I141" i="27"/>
  <c r="I140" i="27"/>
  <c r="G137" i="27"/>
  <c r="K140" i="27"/>
  <c r="H137" i="27"/>
  <c r="E141" i="27"/>
  <c r="J137" i="27"/>
  <c r="J140" i="27"/>
  <c r="H141" i="27"/>
  <c r="L137" i="27"/>
  <c r="N142" i="27"/>
  <c r="F142" i="27"/>
  <c r="M142" i="27"/>
  <c r="E142" i="27"/>
  <c r="I142" i="27"/>
  <c r="K142" i="27"/>
  <c r="G142" i="27"/>
  <c r="H142" i="27"/>
  <c r="J142" i="27"/>
  <c r="L142" i="27"/>
  <c r="G70" i="26"/>
  <c r="G69" i="26"/>
  <c r="G71" i="26"/>
  <c r="I70" i="26"/>
  <c r="I69" i="26"/>
  <c r="I71" i="26"/>
  <c r="E69" i="26"/>
  <c r="E71" i="26"/>
  <c r="E70" i="26"/>
  <c r="J69" i="26"/>
  <c r="J71" i="26"/>
  <c r="J70" i="26"/>
  <c r="L71" i="26"/>
  <c r="L69" i="26"/>
  <c r="L70" i="26"/>
  <c r="N70" i="26"/>
  <c r="N69" i="26"/>
  <c r="N71" i="26"/>
  <c r="K70" i="26"/>
  <c r="K69" i="26"/>
  <c r="K71" i="26"/>
  <c r="K68" i="26"/>
  <c r="H70" i="26"/>
  <c r="H69" i="26"/>
  <c r="H71" i="26"/>
  <c r="H68" i="26"/>
  <c r="F70" i="26"/>
  <c r="F71" i="26"/>
  <c r="F69" i="26"/>
  <c r="F68" i="26"/>
  <c r="M71" i="26"/>
  <c r="M69" i="26"/>
  <c r="M70" i="26"/>
  <c r="I80" i="26"/>
  <c r="I79" i="26"/>
  <c r="I77" i="26"/>
  <c r="L79" i="26"/>
  <c r="L80" i="26"/>
  <c r="E79" i="26"/>
  <c r="E80" i="26"/>
  <c r="M79" i="26"/>
  <c r="M80" i="26"/>
  <c r="F79" i="26"/>
  <c r="F80" i="26"/>
  <c r="K79" i="26"/>
  <c r="K80" i="26"/>
  <c r="J80" i="26"/>
  <c r="J79" i="26"/>
  <c r="H80" i="26"/>
  <c r="H79" i="26"/>
  <c r="N79" i="26"/>
  <c r="N80" i="26"/>
  <c r="G80" i="26"/>
  <c r="G79" i="26"/>
  <c r="I82" i="26"/>
  <c r="I81" i="26"/>
  <c r="I83" i="26"/>
  <c r="L81" i="26"/>
  <c r="L83" i="26"/>
  <c r="L82" i="26"/>
  <c r="E81" i="26"/>
  <c r="E83" i="26"/>
  <c r="E82" i="26"/>
  <c r="M81" i="26"/>
  <c r="M83" i="26"/>
  <c r="M82" i="26"/>
  <c r="F81" i="26"/>
  <c r="F83" i="26"/>
  <c r="F82" i="26"/>
  <c r="K81" i="26"/>
  <c r="K83" i="26"/>
  <c r="K82" i="26"/>
  <c r="J82" i="26"/>
  <c r="J81" i="26"/>
  <c r="J83" i="26"/>
  <c r="H82" i="26"/>
  <c r="H81" i="26"/>
  <c r="H83" i="26"/>
  <c r="N81" i="26"/>
  <c r="N83" i="26"/>
  <c r="N82" i="26"/>
  <c r="G82" i="26"/>
  <c r="G81" i="26"/>
  <c r="G83" i="26"/>
  <c r="G116" i="26"/>
  <c r="F116" i="26"/>
  <c r="F115" i="26"/>
  <c r="I116" i="26"/>
  <c r="K116" i="26"/>
  <c r="J116" i="26"/>
  <c r="L116" i="26"/>
  <c r="N116" i="26"/>
  <c r="E116" i="26"/>
  <c r="H116" i="26"/>
  <c r="M116" i="26"/>
  <c r="G118" i="26"/>
  <c r="G120" i="26"/>
  <c r="G122" i="26"/>
  <c r="G117" i="26"/>
  <c r="G119" i="26"/>
  <c r="G121" i="26"/>
  <c r="F117" i="26"/>
  <c r="F119" i="26"/>
  <c r="F121" i="26"/>
  <c r="F118" i="26"/>
  <c r="F122" i="26"/>
  <c r="F120" i="26"/>
  <c r="I118" i="26"/>
  <c r="I120" i="26"/>
  <c r="I122" i="26"/>
  <c r="I117" i="26"/>
  <c r="I121" i="26"/>
  <c r="I119" i="26"/>
  <c r="K117" i="26"/>
  <c r="K119" i="26"/>
  <c r="K121" i="26"/>
  <c r="K118" i="26"/>
  <c r="K120" i="26"/>
  <c r="K122" i="26"/>
  <c r="J120" i="26"/>
  <c r="J122" i="26"/>
  <c r="J119" i="26"/>
  <c r="J118" i="26"/>
  <c r="J117" i="26"/>
  <c r="J121" i="26"/>
  <c r="L117" i="26"/>
  <c r="L119" i="26"/>
  <c r="L121" i="26"/>
  <c r="L118" i="26"/>
  <c r="L120" i="26"/>
  <c r="L122" i="26"/>
  <c r="N117" i="26"/>
  <c r="N119" i="26"/>
  <c r="N121" i="26"/>
  <c r="N120" i="26"/>
  <c r="N118" i="26"/>
  <c r="N122" i="26"/>
  <c r="E117" i="26"/>
  <c r="E119" i="26"/>
  <c r="E121" i="26"/>
  <c r="E120" i="26"/>
  <c r="E118" i="26"/>
  <c r="E122" i="26"/>
  <c r="H118" i="26"/>
  <c r="H120" i="26"/>
  <c r="H122" i="26"/>
  <c r="H117" i="26"/>
  <c r="H119" i="26"/>
  <c r="H121" i="26"/>
  <c r="M117" i="26"/>
  <c r="M119" i="26"/>
  <c r="M121" i="26"/>
  <c r="M118" i="26"/>
  <c r="M122" i="26"/>
  <c r="M120" i="26"/>
  <c r="D18" i="17" l="1"/>
  <c r="D24" i="17"/>
  <c r="D19" i="17"/>
  <c r="G15" i="19"/>
  <c r="R20" i="7"/>
  <c r="R21" i="7"/>
  <c r="R16" i="7"/>
  <c r="R15" i="7"/>
  <c r="N15" i="7"/>
  <c r="L15" i="7"/>
  <c r="N16" i="7"/>
  <c r="L16" i="7"/>
  <c r="M16" i="7"/>
  <c r="M15" i="7"/>
  <c r="J16" i="19"/>
  <c r="H15" i="19"/>
  <c r="J15" i="19"/>
  <c r="Q15" i="7"/>
  <c r="Q16" i="7"/>
  <c r="O16" i="7"/>
  <c r="O15" i="7"/>
  <c r="H16" i="19"/>
  <c r="P15" i="7"/>
  <c r="P16" i="7"/>
  <c r="Q21" i="7"/>
  <c r="Q20" i="7"/>
  <c r="N20" i="7"/>
  <c r="N21" i="7"/>
  <c r="M20" i="7"/>
  <c r="M21" i="7"/>
  <c r="P21" i="7"/>
  <c r="P20" i="7"/>
  <c r="O20" i="7"/>
  <c r="O21" i="7"/>
  <c r="L20" i="7"/>
  <c r="L21" i="7"/>
  <c r="K16" i="19"/>
  <c r="K15" i="19"/>
  <c r="D16" i="19"/>
  <c r="E16" i="19"/>
  <c r="E15" i="19"/>
  <c r="G16" i="19"/>
  <c r="D15" i="19"/>
  <c r="D20" i="19"/>
  <c r="J20" i="19"/>
  <c r="H21" i="19"/>
  <c r="F20" i="19"/>
  <c r="E20" i="19"/>
  <c r="G21" i="19"/>
  <c r="I21" i="19"/>
  <c r="K21" i="19"/>
  <c r="I15" i="19"/>
  <c r="I16" i="19"/>
  <c r="F15" i="19"/>
  <c r="F16" i="19"/>
  <c r="H20" i="12"/>
  <c r="F20" i="12"/>
  <c r="G20" i="12"/>
  <c r="I20" i="12"/>
  <c r="E20" i="12"/>
  <c r="K20" i="12"/>
  <c r="J20" i="12"/>
  <c r="H17" i="7"/>
  <c r="D17" i="7"/>
  <c r="W7" i="26"/>
  <c r="X7" i="26"/>
  <c r="K138" i="27"/>
  <c r="X118" i="27"/>
  <c r="Y7" i="27"/>
  <c r="X102" i="27"/>
  <c r="L138" i="27"/>
  <c r="X81" i="27"/>
  <c r="X93" i="27"/>
  <c r="W118" i="27"/>
  <c r="I138" i="27"/>
  <c r="W81" i="27"/>
  <c r="E138" i="27"/>
  <c r="W125" i="27"/>
  <c r="M138" i="27"/>
  <c r="X125" i="27"/>
  <c r="F138" i="27"/>
  <c r="X110" i="27"/>
  <c r="W93" i="27"/>
  <c r="Y45" i="27"/>
  <c r="G138" i="27"/>
  <c r="J138" i="27"/>
  <c r="N138" i="27"/>
  <c r="W110" i="27"/>
  <c r="H138" i="27"/>
  <c r="W102" i="27"/>
  <c r="L92" i="20"/>
  <c r="K128" i="20"/>
  <c r="M95" i="20"/>
  <c r="H104" i="20"/>
  <c r="I140" i="20"/>
  <c r="F113" i="20"/>
  <c r="E73" i="26"/>
  <c r="H73" i="26"/>
  <c r="L104" i="20"/>
  <c r="F109" i="20"/>
  <c r="E146" i="20"/>
  <c r="I96" i="20"/>
  <c r="L106" i="26"/>
  <c r="K143" i="20"/>
  <c r="K148" i="20" s="1"/>
  <c r="K124" i="20"/>
  <c r="K134" i="20" s="1"/>
  <c r="J128" i="20"/>
  <c r="H34" i="26"/>
  <c r="J34" i="26"/>
  <c r="L34" i="26"/>
  <c r="K141" i="20"/>
  <c r="M101" i="20"/>
  <c r="G95" i="20"/>
  <c r="L124" i="26"/>
  <c r="E120" i="20"/>
  <c r="I147" i="20"/>
  <c r="J121" i="20"/>
  <c r="G137" i="20"/>
  <c r="H65" i="26"/>
  <c r="K120" i="20"/>
  <c r="F93" i="26"/>
  <c r="H124" i="26"/>
  <c r="H141" i="20"/>
  <c r="J29" i="26"/>
  <c r="G73" i="26"/>
  <c r="L93" i="26"/>
  <c r="M124" i="20"/>
  <c r="M134" i="20" s="1"/>
  <c r="F127" i="20"/>
  <c r="N121" i="20"/>
  <c r="K92" i="20"/>
  <c r="K113" i="20"/>
  <c r="M146" i="20"/>
  <c r="N101" i="20"/>
  <c r="K73" i="26"/>
  <c r="N17" i="26"/>
  <c r="F56" i="26"/>
  <c r="H99" i="26"/>
  <c r="J127" i="20"/>
  <c r="J17" i="26"/>
  <c r="G101" i="20"/>
  <c r="E113" i="20"/>
  <c r="L128" i="20"/>
  <c r="N128" i="20"/>
  <c r="N105" i="20"/>
  <c r="G96" i="20"/>
  <c r="I146" i="20"/>
  <c r="N124" i="26"/>
  <c r="I73" i="26"/>
  <c r="F106" i="26"/>
  <c r="L137" i="20"/>
  <c r="M106" i="26"/>
  <c r="F124" i="26"/>
  <c r="N29" i="26"/>
  <c r="F141" i="20"/>
  <c r="E105" i="20"/>
  <c r="J92" i="20"/>
  <c r="L124" i="20"/>
  <c r="L134" i="20" s="1"/>
  <c r="W41" i="26"/>
  <c r="H146" i="20"/>
  <c r="G127" i="20"/>
  <c r="M93" i="26"/>
  <c r="G112" i="20"/>
  <c r="E112" i="20"/>
  <c r="F73" i="26"/>
  <c r="F117" i="20"/>
  <c r="H124" i="20"/>
  <c r="H134" i="20" s="1"/>
  <c r="J104" i="20"/>
  <c r="I65" i="26"/>
  <c r="L121" i="20"/>
  <c r="L65" i="26"/>
  <c r="L143" i="20"/>
  <c r="L148" i="20" s="1"/>
  <c r="L147" i="20"/>
  <c r="M141" i="20"/>
  <c r="M104" i="20"/>
  <c r="H112" i="20"/>
  <c r="J73" i="26"/>
  <c r="G140" i="20"/>
  <c r="E99" i="26"/>
  <c r="L95" i="20"/>
  <c r="G109" i="20"/>
  <c r="G104" i="20"/>
  <c r="G92" i="20"/>
  <c r="L120" i="20"/>
  <c r="N141" i="20"/>
  <c r="G85" i="26"/>
  <c r="H101" i="20"/>
  <c r="F137" i="20"/>
  <c r="E117" i="20"/>
  <c r="N147" i="20"/>
  <c r="E147" i="20"/>
  <c r="L42" i="26"/>
  <c r="M105" i="20"/>
  <c r="E96" i="20"/>
  <c r="F146" i="20"/>
  <c r="I99" i="26"/>
  <c r="J113" i="20"/>
  <c r="F92" i="20"/>
  <c r="G34" i="26"/>
  <c r="H121" i="20"/>
  <c r="F85" i="26"/>
  <c r="F95" i="20"/>
  <c r="N43" i="26"/>
  <c r="H43" i="26"/>
  <c r="K43" i="26"/>
  <c r="L68" i="26"/>
  <c r="F120" i="20"/>
  <c r="H113" i="20"/>
  <c r="K109" i="20"/>
  <c r="M113" i="20"/>
  <c r="L77" i="26"/>
  <c r="M56" i="26"/>
  <c r="K56" i="26"/>
  <c r="I143" i="20"/>
  <c r="I148" i="20" s="1"/>
  <c r="K101" i="20"/>
  <c r="K146" i="20"/>
  <c r="M99" i="26"/>
  <c r="N85" i="26"/>
  <c r="I121" i="20"/>
  <c r="G29" i="26"/>
  <c r="K85" i="26"/>
  <c r="N93" i="26"/>
  <c r="M140" i="20"/>
  <c r="L96" i="20"/>
  <c r="M92" i="20"/>
  <c r="H112" i="26"/>
  <c r="H104" i="26"/>
  <c r="J112" i="20"/>
  <c r="G147" i="20"/>
  <c r="J124" i="20"/>
  <c r="J134" i="20" s="1"/>
  <c r="I117" i="20"/>
  <c r="M128" i="20"/>
  <c r="L99" i="26"/>
  <c r="N120" i="20"/>
  <c r="J101" i="20"/>
  <c r="N65" i="26"/>
  <c r="I113" i="20"/>
  <c r="L17" i="26"/>
  <c r="K140" i="20"/>
  <c r="F128" i="20"/>
  <c r="H95" i="20"/>
  <c r="F65" i="26"/>
  <c r="K124" i="26"/>
  <c r="E121" i="20"/>
  <c r="N99" i="26"/>
  <c r="F147" i="20"/>
  <c r="J105" i="20"/>
  <c r="E56" i="26"/>
  <c r="F124" i="20"/>
  <c r="F134" i="20" s="1"/>
  <c r="I141" i="20"/>
  <c r="M85" i="26"/>
  <c r="H120" i="20"/>
  <c r="E104" i="20"/>
  <c r="F143" i="20"/>
  <c r="F148" i="20" s="1"/>
  <c r="L101" i="20"/>
  <c r="K99" i="26"/>
  <c r="E124" i="26"/>
  <c r="M65" i="26"/>
  <c r="K147" i="20"/>
  <c r="N112" i="20"/>
  <c r="E92" i="20"/>
  <c r="L141" i="20"/>
  <c r="I34" i="26"/>
  <c r="G99" i="26"/>
  <c r="M40" i="26"/>
  <c r="N42" i="26"/>
  <c r="M45" i="26"/>
  <c r="J99" i="26"/>
  <c r="L117" i="20"/>
  <c r="I109" i="20"/>
  <c r="F34" i="26"/>
  <c r="K65" i="26"/>
  <c r="K112" i="26"/>
  <c r="F99" i="26"/>
  <c r="G121" i="20"/>
  <c r="F105" i="20"/>
  <c r="E95" i="20"/>
  <c r="J85" i="26"/>
  <c r="N109" i="20"/>
  <c r="F96" i="20"/>
  <c r="K17" i="26"/>
  <c r="I85" i="26"/>
  <c r="J97" i="26"/>
  <c r="I105" i="20"/>
  <c r="N73" i="26"/>
  <c r="M120" i="20"/>
  <c r="J112" i="26"/>
  <c r="I104" i="20"/>
  <c r="K34" i="26"/>
  <c r="E17" i="26"/>
  <c r="J140" i="20"/>
  <c r="F17" i="26"/>
  <c r="I95" i="20"/>
  <c r="E85" i="26"/>
  <c r="J120" i="20"/>
  <c r="J56" i="26"/>
  <c r="E109" i="20"/>
  <c r="I17" i="26"/>
  <c r="L140" i="20"/>
  <c r="N106" i="26"/>
  <c r="F121" i="20"/>
  <c r="K96" i="26"/>
  <c r="H29" i="26"/>
  <c r="N112" i="26"/>
  <c r="I124" i="20"/>
  <c r="I134" i="20" s="1"/>
  <c r="N143" i="20"/>
  <c r="N148" i="20" s="1"/>
  <c r="G93" i="26"/>
  <c r="N95" i="20"/>
  <c r="K127" i="20"/>
  <c r="N92" i="20"/>
  <c r="N97" i="20" s="1"/>
  <c r="K137" i="20"/>
  <c r="N34" i="26"/>
  <c r="L109" i="20"/>
  <c r="G124" i="26"/>
  <c r="H96" i="20"/>
  <c r="G112" i="26"/>
  <c r="I56" i="26"/>
  <c r="M43" i="26"/>
  <c r="I128" i="20"/>
  <c r="F43" i="26"/>
  <c r="M17" i="26"/>
  <c r="G106" i="26"/>
  <c r="L127" i="20"/>
  <c r="K40" i="26"/>
  <c r="G43" i="26"/>
  <c r="E40" i="26"/>
  <c r="K44" i="26"/>
  <c r="M46" i="26"/>
  <c r="X50" i="26"/>
  <c r="I127" i="20"/>
  <c r="J137" i="20"/>
  <c r="L73" i="26"/>
  <c r="L113" i="20"/>
  <c r="J96" i="20"/>
  <c r="G128" i="20"/>
  <c r="H143" i="20"/>
  <c r="H148" i="20" s="1"/>
  <c r="J65" i="26"/>
  <c r="K117" i="20"/>
  <c r="G56" i="26"/>
  <c r="F112" i="26"/>
  <c r="I101" i="20"/>
  <c r="K93" i="26"/>
  <c r="F101" i="20"/>
  <c r="I137" i="20"/>
  <c r="M143" i="20"/>
  <c r="M148" i="20" s="1"/>
  <c r="N127" i="20"/>
  <c r="L49" i="26"/>
  <c r="E112" i="26"/>
  <c r="N124" i="20"/>
  <c r="N134" i="20" s="1"/>
  <c r="G17" i="26"/>
  <c r="E34" i="26"/>
  <c r="M42" i="26"/>
  <c r="M73" i="26"/>
  <c r="M147" i="20"/>
  <c r="I106" i="26"/>
  <c r="I120" i="20"/>
  <c r="K112" i="20"/>
  <c r="F140" i="20"/>
  <c r="F104" i="20"/>
  <c r="E106" i="26"/>
  <c r="N49" i="26"/>
  <c r="J141" i="20"/>
  <c r="K29" i="26"/>
  <c r="H85" i="26"/>
  <c r="I93" i="26"/>
  <c r="H106" i="26"/>
  <c r="N140" i="20"/>
  <c r="E65" i="26"/>
  <c r="E42" i="26"/>
  <c r="G51" i="26"/>
  <c r="K78" i="26"/>
  <c r="N56" i="26"/>
  <c r="J146" i="20"/>
  <c r="L146" i="20"/>
  <c r="E141" i="20"/>
  <c r="K46" i="26"/>
  <c r="E45" i="26"/>
  <c r="E127" i="20"/>
  <c r="K95" i="20"/>
  <c r="K104" i="20"/>
  <c r="G124" i="20"/>
  <c r="G134" i="20" s="1"/>
  <c r="J147" i="20"/>
  <c r="H17" i="26"/>
  <c r="H56" i="26"/>
  <c r="J43" i="26"/>
  <c r="M117" i="20"/>
  <c r="G141" i="20"/>
  <c r="I124" i="26"/>
  <c r="E143" i="20"/>
  <c r="E148" i="20" s="1"/>
  <c r="I52" i="26"/>
  <c r="G105" i="20"/>
  <c r="F42" i="26"/>
  <c r="M124" i="26"/>
  <c r="J143" i="20"/>
  <c r="J148" i="20" s="1"/>
  <c r="H140" i="20"/>
  <c r="H128" i="20"/>
  <c r="L112" i="20"/>
  <c r="H105" i="20"/>
  <c r="F112" i="20"/>
  <c r="M96" i="20"/>
  <c r="K106" i="26"/>
  <c r="M51" i="26"/>
  <c r="E101" i="20"/>
  <c r="E140" i="20"/>
  <c r="J42" i="26"/>
  <c r="J124" i="26"/>
  <c r="N40" i="26"/>
  <c r="I43" i="26"/>
  <c r="N54" i="26"/>
  <c r="E48" i="26"/>
  <c r="N137" i="20"/>
  <c r="G117" i="20"/>
  <c r="J106" i="26"/>
  <c r="J49" i="26"/>
  <c r="G113" i="20"/>
  <c r="G40" i="26"/>
  <c r="M47" i="26"/>
  <c r="N146" i="20"/>
  <c r="N104" i="20"/>
  <c r="H127" i="20"/>
  <c r="G146" i="20"/>
  <c r="H147" i="20"/>
  <c r="L105" i="20"/>
  <c r="J95" i="20"/>
  <c r="M34" i="26"/>
  <c r="K42" i="26"/>
  <c r="K45" i="26"/>
  <c r="M121" i="20"/>
  <c r="K105" i="20"/>
  <c r="M112" i="20"/>
  <c r="K121" i="20"/>
  <c r="J91" i="26"/>
  <c r="E137" i="20"/>
  <c r="K47" i="26"/>
  <c r="M44" i="26"/>
  <c r="N113" i="20"/>
  <c r="E29" i="26"/>
  <c r="K109" i="26"/>
  <c r="F29" i="26"/>
  <c r="H109" i="20"/>
  <c r="H92" i="20"/>
  <c r="E93" i="26"/>
  <c r="M127" i="20"/>
  <c r="J52" i="26"/>
  <c r="G120" i="20"/>
  <c r="M137" i="20"/>
  <c r="I49" i="26"/>
  <c r="L112" i="26"/>
  <c r="I40" i="26"/>
  <c r="L56" i="26"/>
  <c r="L43" i="26"/>
  <c r="G42" i="26"/>
  <c r="I44" i="26"/>
  <c r="M48" i="26"/>
  <c r="E44" i="26"/>
  <c r="E124" i="20"/>
  <c r="E134" i="20" s="1"/>
  <c r="I112" i="20"/>
  <c r="I112" i="26"/>
  <c r="N96" i="20"/>
  <c r="H137" i="20"/>
  <c r="N117" i="20"/>
  <c r="G97" i="26"/>
  <c r="E128" i="20"/>
  <c r="I28" i="26"/>
  <c r="L51" i="26"/>
  <c r="L40" i="26"/>
  <c r="I47" i="26"/>
  <c r="L29" i="26"/>
  <c r="H117" i="20"/>
  <c r="I92" i="20"/>
  <c r="J93" i="26"/>
  <c r="G143" i="20"/>
  <c r="G148" i="20" s="1"/>
  <c r="H93" i="26"/>
  <c r="K96" i="20"/>
  <c r="M112" i="26"/>
  <c r="G65" i="26"/>
  <c r="J40" i="26"/>
  <c r="F40" i="26"/>
  <c r="N48" i="26"/>
  <c r="F48" i="26"/>
  <c r="L85" i="26"/>
  <c r="J109" i="20"/>
  <c r="M29" i="26"/>
  <c r="J117" i="20"/>
  <c r="M109" i="20"/>
  <c r="E43" i="26"/>
  <c r="F44" i="26"/>
  <c r="H40" i="26"/>
  <c r="H42" i="26"/>
  <c r="I42" i="26"/>
  <c r="K48" i="26"/>
  <c r="E46" i="26"/>
  <c r="E47" i="26"/>
  <c r="E52" i="26"/>
  <c r="F49" i="26"/>
  <c r="J51" i="26"/>
  <c r="K49" i="26"/>
  <c r="M52" i="26"/>
  <c r="H52" i="26"/>
  <c r="G52" i="26"/>
  <c r="N52" i="26"/>
  <c r="I51" i="26"/>
  <c r="H49" i="26"/>
  <c r="K52" i="26"/>
  <c r="E51" i="26"/>
  <c r="K51" i="26"/>
  <c r="G49" i="26"/>
  <c r="M49" i="26"/>
  <c r="F51" i="26"/>
  <c r="L52" i="26"/>
  <c r="H51" i="26"/>
  <c r="F52" i="26"/>
  <c r="E49" i="26"/>
  <c r="N51" i="26"/>
  <c r="L53" i="26"/>
  <c r="L54" i="26"/>
  <c r="N53" i="26"/>
  <c r="N46" i="26"/>
  <c r="N44" i="26"/>
  <c r="N47" i="26"/>
  <c r="N45" i="26"/>
  <c r="J53" i="26"/>
  <c r="J54" i="26"/>
  <c r="G48" i="26"/>
  <c r="G46" i="26"/>
  <c r="G47" i="26"/>
  <c r="G44" i="26"/>
  <c r="G45" i="26"/>
  <c r="I53" i="26"/>
  <c r="I54" i="26"/>
  <c r="I48" i="26"/>
  <c r="I45" i="26"/>
  <c r="I46" i="26"/>
  <c r="L48" i="26"/>
  <c r="L45" i="26"/>
  <c r="L47" i="26"/>
  <c r="L46" i="26"/>
  <c r="L44" i="26"/>
  <c r="J45" i="26"/>
  <c r="J48" i="26"/>
  <c r="J47" i="26"/>
  <c r="J44" i="26"/>
  <c r="J46" i="26"/>
  <c r="F47" i="26"/>
  <c r="F45" i="26"/>
  <c r="F46" i="26"/>
  <c r="H46" i="26"/>
  <c r="H44" i="26"/>
  <c r="H47" i="26"/>
  <c r="H45" i="26"/>
  <c r="H48" i="26"/>
  <c r="F54" i="26"/>
  <c r="F53" i="26"/>
  <c r="K53" i="26"/>
  <c r="K54" i="26"/>
  <c r="H53" i="26"/>
  <c r="G53" i="26"/>
  <c r="G54" i="26"/>
  <c r="M53" i="26"/>
  <c r="M54" i="26"/>
  <c r="E54" i="26"/>
  <c r="E53" i="26"/>
  <c r="L97" i="20"/>
  <c r="F114" i="20"/>
  <c r="F115" i="20"/>
  <c r="F116" i="20"/>
  <c r="K129" i="20"/>
  <c r="K135" i="20"/>
  <c r="K136" i="20"/>
  <c r="K130" i="20"/>
  <c r="M108" i="20"/>
  <c r="M107" i="20"/>
  <c r="M106" i="20"/>
  <c r="G142" i="20"/>
  <c r="M136" i="20"/>
  <c r="M130" i="20"/>
  <c r="M135" i="20"/>
  <c r="M129" i="20"/>
  <c r="K97" i="20"/>
  <c r="N107" i="20"/>
  <c r="N108" i="20"/>
  <c r="N106" i="20"/>
  <c r="G108" i="20"/>
  <c r="G107" i="20"/>
  <c r="G106" i="20"/>
  <c r="L142" i="20"/>
  <c r="J97" i="20"/>
  <c r="L129" i="20"/>
  <c r="L136" i="20"/>
  <c r="L130" i="20"/>
  <c r="L135" i="20"/>
  <c r="F123" i="20"/>
  <c r="F122" i="20"/>
  <c r="H135" i="20"/>
  <c r="H130" i="20"/>
  <c r="H129" i="20"/>
  <c r="H136" i="20"/>
  <c r="G115" i="20"/>
  <c r="G116" i="20"/>
  <c r="G114" i="20"/>
  <c r="G97" i="20"/>
  <c r="H108" i="20"/>
  <c r="H107" i="20"/>
  <c r="H106" i="20"/>
  <c r="F142" i="20"/>
  <c r="E123" i="20"/>
  <c r="E122" i="20"/>
  <c r="F97" i="20"/>
  <c r="K115" i="20"/>
  <c r="K116" i="20"/>
  <c r="K114" i="20"/>
  <c r="K106" i="20"/>
  <c r="K108" i="20"/>
  <c r="K107" i="20"/>
  <c r="M97" i="20"/>
  <c r="J130" i="20"/>
  <c r="J129" i="20"/>
  <c r="J136" i="20"/>
  <c r="J135" i="20"/>
  <c r="I123" i="20"/>
  <c r="I122" i="20"/>
  <c r="J107" i="20"/>
  <c r="J108" i="20"/>
  <c r="J106" i="20"/>
  <c r="F136" i="20"/>
  <c r="F135" i="20"/>
  <c r="F129" i="20"/>
  <c r="F130" i="20"/>
  <c r="L106" i="20"/>
  <c r="L107" i="20"/>
  <c r="L108" i="20"/>
  <c r="E97" i="20"/>
  <c r="L122" i="20"/>
  <c r="L123" i="20"/>
  <c r="I116" i="20"/>
  <c r="I114" i="20"/>
  <c r="I115" i="20"/>
  <c r="N114" i="20"/>
  <c r="N116" i="20"/>
  <c r="N115" i="20"/>
  <c r="E114" i="20"/>
  <c r="E116" i="20"/>
  <c r="E115" i="20"/>
  <c r="I130" i="20"/>
  <c r="I136" i="20"/>
  <c r="I129" i="20"/>
  <c r="I135" i="20"/>
  <c r="K142" i="20"/>
  <c r="L115" i="20"/>
  <c r="L114" i="20"/>
  <c r="L116" i="20"/>
  <c r="J142" i="20"/>
  <c r="K122" i="20"/>
  <c r="K123" i="20"/>
  <c r="I107" i="20"/>
  <c r="I106" i="20"/>
  <c r="I108" i="20"/>
  <c r="F107" i="20"/>
  <c r="F106" i="20"/>
  <c r="F108" i="20"/>
  <c r="I142" i="20"/>
  <c r="N136" i="20"/>
  <c r="N135" i="20"/>
  <c r="N130" i="20"/>
  <c r="N129" i="20"/>
  <c r="G135" i="20"/>
  <c r="G129" i="20"/>
  <c r="G136" i="20"/>
  <c r="G130" i="20"/>
  <c r="M123" i="20"/>
  <c r="M122" i="20"/>
  <c r="E108" i="20"/>
  <c r="E107" i="20"/>
  <c r="E106" i="20"/>
  <c r="N142" i="20"/>
  <c r="G122" i="20"/>
  <c r="G123" i="20"/>
  <c r="E142" i="20"/>
  <c r="H116" i="20"/>
  <c r="H114" i="20"/>
  <c r="H115" i="20"/>
  <c r="H97" i="20"/>
  <c r="M142" i="20"/>
  <c r="E136" i="20"/>
  <c r="E130" i="20"/>
  <c r="E135" i="20"/>
  <c r="E129" i="20"/>
  <c r="H142" i="20"/>
  <c r="N122" i="20"/>
  <c r="N123" i="20"/>
  <c r="H123" i="20"/>
  <c r="H122" i="20"/>
  <c r="I97" i="20"/>
  <c r="J116" i="20"/>
  <c r="J115" i="20"/>
  <c r="J114" i="20"/>
  <c r="J123" i="20"/>
  <c r="J122" i="20"/>
  <c r="M114" i="20"/>
  <c r="M116" i="20"/>
  <c r="M115" i="20"/>
  <c r="L98" i="20"/>
  <c r="L100" i="20"/>
  <c r="L99" i="20"/>
  <c r="K98" i="20"/>
  <c r="K100" i="20"/>
  <c r="K99" i="20"/>
  <c r="J99" i="20"/>
  <c r="J98" i="20"/>
  <c r="J100" i="20"/>
  <c r="G99" i="20"/>
  <c r="G98" i="20"/>
  <c r="G100" i="20"/>
  <c r="F98" i="20"/>
  <c r="F100" i="20"/>
  <c r="F99" i="20"/>
  <c r="M98" i="20"/>
  <c r="M100" i="20"/>
  <c r="M99" i="20"/>
  <c r="E98" i="20"/>
  <c r="E100" i="20"/>
  <c r="E99" i="20"/>
  <c r="H99" i="20"/>
  <c r="H98" i="20"/>
  <c r="H100" i="20"/>
  <c r="I99" i="20"/>
  <c r="I98" i="20"/>
  <c r="I100" i="20"/>
  <c r="K131" i="20"/>
  <c r="K133" i="20"/>
  <c r="K132" i="20"/>
  <c r="M131" i="20"/>
  <c r="M133" i="20"/>
  <c r="M132" i="20"/>
  <c r="L131" i="20"/>
  <c r="L133" i="20"/>
  <c r="L132" i="20"/>
  <c r="H132" i="20"/>
  <c r="H131" i="20"/>
  <c r="H133" i="20"/>
  <c r="J132" i="20"/>
  <c r="J131" i="20"/>
  <c r="J133" i="20"/>
  <c r="F132" i="20"/>
  <c r="F131" i="20"/>
  <c r="F133" i="20"/>
  <c r="I132" i="20"/>
  <c r="I131" i="20"/>
  <c r="I133" i="20"/>
  <c r="N133" i="20"/>
  <c r="N131" i="20"/>
  <c r="N132" i="20"/>
  <c r="G131" i="20"/>
  <c r="G133" i="20"/>
  <c r="G132" i="20"/>
  <c r="E131" i="20"/>
  <c r="E133" i="20"/>
  <c r="E132" i="20"/>
  <c r="N98" i="20"/>
  <c r="N99" i="20"/>
  <c r="N100" i="20"/>
  <c r="W37" i="20"/>
  <c r="X62" i="20"/>
  <c r="W45" i="20"/>
  <c r="W62" i="20"/>
  <c r="X45" i="20"/>
  <c r="X72" i="20"/>
  <c r="W72" i="20"/>
  <c r="X7" i="20"/>
  <c r="X18" i="20"/>
  <c r="W18" i="20"/>
  <c r="X37" i="20"/>
  <c r="W7" i="20"/>
  <c r="W55" i="20"/>
  <c r="X55" i="20"/>
  <c r="W31" i="20"/>
  <c r="X31" i="20"/>
  <c r="G6" i="20"/>
  <c r="H6" i="20"/>
  <c r="J9" i="20"/>
  <c r="H10" i="20"/>
  <c r="I6" i="20"/>
  <c r="K9" i="20"/>
  <c r="I10" i="20"/>
  <c r="G10" i="20"/>
  <c r="J10" i="20"/>
  <c r="M9" i="20"/>
  <c r="L6" i="20"/>
  <c r="L10" i="20"/>
  <c r="E6" i="20"/>
  <c r="M6" i="20"/>
  <c r="G9" i="20"/>
  <c r="E10" i="20"/>
  <c r="M10" i="20"/>
  <c r="I9" i="20"/>
  <c r="J6" i="20"/>
  <c r="L9" i="20"/>
  <c r="K6" i="20"/>
  <c r="E9" i="20"/>
  <c r="K10" i="20"/>
  <c r="F9" i="20"/>
  <c r="N9" i="20"/>
  <c r="F6" i="20"/>
  <c r="N6" i="20"/>
  <c r="H9" i="20"/>
  <c r="F10" i="20"/>
  <c r="N10" i="20"/>
  <c r="G7" i="20"/>
  <c r="G11" i="20"/>
  <c r="G15" i="20"/>
  <c r="G12" i="20"/>
  <c r="G13" i="20"/>
  <c r="G14" i="20"/>
  <c r="G16" i="20"/>
  <c r="H7" i="20"/>
  <c r="H16" i="20"/>
  <c r="H11" i="20"/>
  <c r="H12" i="20"/>
  <c r="H13" i="20"/>
  <c r="H15" i="20"/>
  <c r="H14" i="20"/>
  <c r="I7" i="20"/>
  <c r="I15" i="20"/>
  <c r="I11" i="20"/>
  <c r="I16" i="20"/>
  <c r="I12" i="20"/>
  <c r="I13" i="20"/>
  <c r="I14" i="20"/>
  <c r="L7" i="20"/>
  <c r="L11" i="20"/>
  <c r="L15" i="20"/>
  <c r="L13" i="20"/>
  <c r="L14" i="20"/>
  <c r="L12" i="20"/>
  <c r="L16" i="20"/>
  <c r="E7" i="20"/>
  <c r="E13" i="20"/>
  <c r="E11" i="20"/>
  <c r="E14" i="20"/>
  <c r="E12" i="20"/>
  <c r="E15" i="20"/>
  <c r="E16" i="20"/>
  <c r="M7" i="20"/>
  <c r="M11" i="20"/>
  <c r="M13" i="20"/>
  <c r="M14" i="20"/>
  <c r="M16" i="20"/>
  <c r="M15" i="20"/>
  <c r="M12" i="20"/>
  <c r="J7" i="20"/>
  <c r="J14" i="20"/>
  <c r="J15" i="20"/>
  <c r="J11" i="20"/>
  <c r="J16" i="20"/>
  <c r="J12" i="20"/>
  <c r="J13" i="20"/>
  <c r="K7" i="20"/>
  <c r="K13" i="20"/>
  <c r="K12" i="20"/>
  <c r="K16" i="20"/>
  <c r="K14" i="20"/>
  <c r="K15" i="20"/>
  <c r="K11" i="20"/>
  <c r="F7" i="20"/>
  <c r="F12" i="20"/>
  <c r="F14" i="20"/>
  <c r="F13" i="20"/>
  <c r="F16" i="20"/>
  <c r="F11" i="20"/>
  <c r="F15" i="20"/>
  <c r="N7" i="20"/>
  <c r="N13" i="20"/>
  <c r="N16" i="20"/>
  <c r="N12" i="20"/>
  <c r="N14" i="20"/>
  <c r="N11" i="20"/>
  <c r="N15" i="20"/>
  <c r="L117" i="27"/>
  <c r="L120" i="27"/>
  <c r="E117" i="27"/>
  <c r="K120" i="27"/>
  <c r="G120" i="27"/>
  <c r="K117" i="27"/>
  <c r="M121" i="27"/>
  <c r="G117" i="27"/>
  <c r="M120" i="27"/>
  <c r="E121" i="27"/>
  <c r="I121" i="27"/>
  <c r="M117" i="27"/>
  <c r="J121" i="27"/>
  <c r="E120" i="27"/>
  <c r="K121" i="27"/>
  <c r="F117" i="27"/>
  <c r="N117" i="27"/>
  <c r="F120" i="27"/>
  <c r="N120" i="27"/>
  <c r="L121" i="27"/>
  <c r="H117" i="27"/>
  <c r="H120" i="27"/>
  <c r="F121" i="27"/>
  <c r="N121" i="27"/>
  <c r="I117" i="27"/>
  <c r="I120" i="27"/>
  <c r="G121" i="27"/>
  <c r="J117" i="27"/>
  <c r="J120" i="27"/>
  <c r="H121" i="27"/>
  <c r="L80" i="27"/>
  <c r="N84" i="27"/>
  <c r="E84" i="27"/>
  <c r="F83" i="27"/>
  <c r="I80" i="27"/>
  <c r="L84" i="27"/>
  <c r="K83" i="27"/>
  <c r="J80" i="27"/>
  <c r="K84" i="27"/>
  <c r="J83" i="27"/>
  <c r="H80" i="27"/>
  <c r="I84" i="27"/>
  <c r="I83" i="27"/>
  <c r="G80" i="27"/>
  <c r="F84" i="27"/>
  <c r="E83" i="27"/>
  <c r="N80" i="27"/>
  <c r="M83" i="27"/>
  <c r="M80" i="27"/>
  <c r="H83" i="27"/>
  <c r="K80" i="27"/>
  <c r="E80" i="27"/>
  <c r="G83" i="27"/>
  <c r="F80" i="27"/>
  <c r="H84" i="27"/>
  <c r="G84" i="27"/>
  <c r="M84" i="27"/>
  <c r="N83" i="27"/>
  <c r="L83" i="27"/>
  <c r="J84" i="27"/>
  <c r="L124" i="27"/>
  <c r="I128" i="27"/>
  <c r="K127" i="27"/>
  <c r="K124" i="27"/>
  <c r="H128" i="27"/>
  <c r="J127" i="27"/>
  <c r="J124" i="27"/>
  <c r="N128" i="27"/>
  <c r="F128" i="27"/>
  <c r="H127" i="27"/>
  <c r="H124" i="27"/>
  <c r="N127" i="27"/>
  <c r="G124" i="27"/>
  <c r="M127" i="27"/>
  <c r="F124" i="27"/>
  <c r="I127" i="27"/>
  <c r="E124" i="27"/>
  <c r="K128" i="27"/>
  <c r="E127" i="27"/>
  <c r="N124" i="27"/>
  <c r="E128" i="27"/>
  <c r="G127" i="27"/>
  <c r="F127" i="27"/>
  <c r="M128" i="27"/>
  <c r="I124" i="27"/>
  <c r="G128" i="27"/>
  <c r="L128" i="27"/>
  <c r="M124" i="27"/>
  <c r="L127" i="27"/>
  <c r="J128" i="27"/>
  <c r="I92" i="27"/>
  <c r="K96" i="27"/>
  <c r="K95" i="27"/>
  <c r="K92" i="27"/>
  <c r="J96" i="27"/>
  <c r="I95" i="27"/>
  <c r="H92" i="27"/>
  <c r="I96" i="27"/>
  <c r="H95" i="27"/>
  <c r="G92" i="27"/>
  <c r="E96" i="27"/>
  <c r="N92" i="27"/>
  <c r="G95" i="27"/>
  <c r="L92" i="27"/>
  <c r="F95" i="27"/>
  <c r="F92" i="27"/>
  <c r="N96" i="27"/>
  <c r="E92" i="27"/>
  <c r="L96" i="27"/>
  <c r="F96" i="27"/>
  <c r="M95" i="27"/>
  <c r="M92" i="27"/>
  <c r="G96" i="27"/>
  <c r="L95" i="27"/>
  <c r="E95" i="27"/>
  <c r="N95" i="27"/>
  <c r="M96" i="27"/>
  <c r="J92" i="27"/>
  <c r="J95" i="27"/>
  <c r="H96" i="27"/>
  <c r="L109" i="27"/>
  <c r="I113" i="27"/>
  <c r="K112" i="27"/>
  <c r="K109" i="27"/>
  <c r="H113" i="27"/>
  <c r="J112" i="27"/>
  <c r="J109" i="27"/>
  <c r="N113" i="27"/>
  <c r="F113" i="27"/>
  <c r="H112" i="27"/>
  <c r="H109" i="27"/>
  <c r="I112" i="27"/>
  <c r="E109" i="27"/>
  <c r="M113" i="27"/>
  <c r="G112" i="27"/>
  <c r="L113" i="27"/>
  <c r="F112" i="27"/>
  <c r="E113" i="27"/>
  <c r="I109" i="27"/>
  <c r="N112" i="27"/>
  <c r="M112" i="27"/>
  <c r="E112" i="27"/>
  <c r="G109" i="27"/>
  <c r="M109" i="27"/>
  <c r="K113" i="27"/>
  <c r="F109" i="27"/>
  <c r="G113" i="27"/>
  <c r="N109" i="27"/>
  <c r="L112" i="27"/>
  <c r="J113" i="27"/>
  <c r="L101" i="27"/>
  <c r="I105" i="27"/>
  <c r="I104" i="27"/>
  <c r="G101" i="27"/>
  <c r="H105" i="27"/>
  <c r="H104" i="27"/>
  <c r="G105" i="27"/>
  <c r="J104" i="27"/>
  <c r="K101" i="27"/>
  <c r="G104" i="27"/>
  <c r="J101" i="27"/>
  <c r="N105" i="27"/>
  <c r="F104" i="27"/>
  <c r="I101" i="27"/>
  <c r="E105" i="27"/>
  <c r="F105" i="27"/>
  <c r="H101" i="27"/>
  <c r="N104" i="27"/>
  <c r="F101" i="27"/>
  <c r="K104" i="27"/>
  <c r="N101" i="27"/>
  <c r="M105" i="27"/>
  <c r="L104" i="27"/>
  <c r="J105" i="27"/>
  <c r="E101" i="27"/>
  <c r="M101" i="27"/>
  <c r="E104" i="27"/>
  <c r="M104" i="27"/>
  <c r="K105" i="27"/>
  <c r="L105" i="27"/>
  <c r="L123" i="27"/>
  <c r="L122" i="27"/>
  <c r="E122" i="27"/>
  <c r="E123" i="27"/>
  <c r="K123" i="27"/>
  <c r="K122" i="27"/>
  <c r="G122" i="27"/>
  <c r="G123" i="27"/>
  <c r="M123" i="27"/>
  <c r="M122" i="27"/>
  <c r="F122" i="27"/>
  <c r="F123" i="27"/>
  <c r="N122" i="27"/>
  <c r="N123" i="27"/>
  <c r="H122" i="27"/>
  <c r="H123" i="27"/>
  <c r="I122" i="27"/>
  <c r="I123" i="27"/>
  <c r="J123" i="27"/>
  <c r="J122" i="27"/>
  <c r="L87" i="27"/>
  <c r="L85" i="27"/>
  <c r="L89" i="27"/>
  <c r="L90" i="27"/>
  <c r="L88" i="27"/>
  <c r="L91" i="27"/>
  <c r="L86" i="27"/>
  <c r="I90" i="27"/>
  <c r="I87" i="27"/>
  <c r="I88" i="27"/>
  <c r="I91" i="27"/>
  <c r="I85" i="27"/>
  <c r="I86" i="27"/>
  <c r="I89" i="27"/>
  <c r="J89" i="27"/>
  <c r="J87" i="27"/>
  <c r="J91" i="27"/>
  <c r="J85" i="27"/>
  <c r="J86" i="27"/>
  <c r="J88" i="27"/>
  <c r="J90" i="27"/>
  <c r="H90" i="27"/>
  <c r="H88" i="27"/>
  <c r="H89" i="27"/>
  <c r="H85" i="27"/>
  <c r="H87" i="27"/>
  <c r="H86" i="27"/>
  <c r="H91" i="27"/>
  <c r="G89" i="27"/>
  <c r="G88" i="27"/>
  <c r="G85" i="27"/>
  <c r="G90" i="27"/>
  <c r="G86" i="27"/>
  <c r="G87" i="27"/>
  <c r="G91" i="27"/>
  <c r="N86" i="27"/>
  <c r="N90" i="27"/>
  <c r="N88" i="27"/>
  <c r="N85" i="27"/>
  <c r="N87" i="27"/>
  <c r="N89" i="27"/>
  <c r="N91" i="27"/>
  <c r="M87" i="27"/>
  <c r="M85" i="27"/>
  <c r="M88" i="27"/>
  <c r="M86" i="27"/>
  <c r="M89" i="27"/>
  <c r="M90" i="27"/>
  <c r="M91" i="27"/>
  <c r="K89" i="27"/>
  <c r="K86" i="27"/>
  <c r="K88" i="27"/>
  <c r="K87" i="27"/>
  <c r="K90" i="27"/>
  <c r="K91" i="27"/>
  <c r="K85" i="27"/>
  <c r="E85" i="27"/>
  <c r="E90" i="27"/>
  <c r="E89" i="27"/>
  <c r="E91" i="27"/>
  <c r="E88" i="27"/>
  <c r="E87" i="27"/>
  <c r="E86" i="27"/>
  <c r="F86" i="27"/>
  <c r="F88" i="27"/>
  <c r="F90" i="27"/>
  <c r="F85" i="27"/>
  <c r="F87" i="27"/>
  <c r="F89" i="27"/>
  <c r="F91" i="27"/>
  <c r="L136" i="27"/>
  <c r="L132" i="27"/>
  <c r="L130" i="27"/>
  <c r="L134" i="27"/>
  <c r="L129" i="27"/>
  <c r="L131" i="27"/>
  <c r="L133" i="27"/>
  <c r="L135" i="27"/>
  <c r="K129" i="27"/>
  <c r="K133" i="27"/>
  <c r="K132" i="27"/>
  <c r="K136" i="27"/>
  <c r="K131" i="27"/>
  <c r="K135" i="27"/>
  <c r="K130" i="27"/>
  <c r="K134" i="27"/>
  <c r="J129" i="27"/>
  <c r="J131" i="27"/>
  <c r="J133" i="27"/>
  <c r="J135" i="27"/>
  <c r="J130" i="27"/>
  <c r="J132" i="27"/>
  <c r="J134" i="27"/>
  <c r="J136" i="27"/>
  <c r="H131" i="27"/>
  <c r="H135" i="27"/>
  <c r="H129" i="27"/>
  <c r="H133" i="27"/>
  <c r="H130" i="27"/>
  <c r="H132" i="27"/>
  <c r="H134" i="27"/>
  <c r="H136" i="27"/>
  <c r="G136" i="27"/>
  <c r="G132" i="27"/>
  <c r="G131" i="27"/>
  <c r="G135" i="27"/>
  <c r="G130" i="27"/>
  <c r="G134" i="27"/>
  <c r="G129" i="27"/>
  <c r="G133" i="27"/>
  <c r="F130" i="27"/>
  <c r="F132" i="27"/>
  <c r="F134" i="27"/>
  <c r="F136" i="27"/>
  <c r="F129" i="27"/>
  <c r="F131" i="27"/>
  <c r="F133" i="27"/>
  <c r="F135" i="27"/>
  <c r="E132" i="27"/>
  <c r="E134" i="27"/>
  <c r="E130" i="27"/>
  <c r="E136" i="27"/>
  <c r="E129" i="27"/>
  <c r="E131" i="27"/>
  <c r="E133" i="27"/>
  <c r="E135" i="27"/>
  <c r="N130" i="27"/>
  <c r="N132" i="27"/>
  <c r="N134" i="27"/>
  <c r="N136" i="27"/>
  <c r="N129" i="27"/>
  <c r="N131" i="27"/>
  <c r="N133" i="27"/>
  <c r="N135" i="27"/>
  <c r="I129" i="27"/>
  <c r="I131" i="27"/>
  <c r="I135" i="27"/>
  <c r="I133" i="27"/>
  <c r="I130" i="27"/>
  <c r="I132" i="27"/>
  <c r="I134" i="27"/>
  <c r="I136" i="27"/>
  <c r="M134" i="27"/>
  <c r="M136" i="27"/>
  <c r="M132" i="27"/>
  <c r="M130" i="27"/>
  <c r="M129" i="27"/>
  <c r="M131" i="27"/>
  <c r="M133" i="27"/>
  <c r="M135" i="27"/>
  <c r="I97" i="27"/>
  <c r="I99" i="27"/>
  <c r="I98" i="27"/>
  <c r="I100" i="27"/>
  <c r="K100" i="27"/>
  <c r="K99" i="27"/>
  <c r="K97" i="27"/>
  <c r="K98" i="27"/>
  <c r="H97" i="27"/>
  <c r="H99" i="27"/>
  <c r="H98" i="27"/>
  <c r="H100" i="27"/>
  <c r="G97" i="27"/>
  <c r="G99" i="27"/>
  <c r="G98" i="27"/>
  <c r="G100" i="27"/>
  <c r="N99" i="27"/>
  <c r="N97" i="27"/>
  <c r="N98" i="27"/>
  <c r="N100" i="27"/>
  <c r="L98" i="27"/>
  <c r="L100" i="27"/>
  <c r="L97" i="27"/>
  <c r="L99" i="27"/>
  <c r="F98" i="27"/>
  <c r="F100" i="27"/>
  <c r="F97" i="27"/>
  <c r="F99" i="27"/>
  <c r="E100" i="27"/>
  <c r="E98" i="27"/>
  <c r="E97" i="27"/>
  <c r="E99" i="27"/>
  <c r="M98" i="27"/>
  <c r="M100" i="27"/>
  <c r="M97" i="27"/>
  <c r="M99" i="27"/>
  <c r="J100" i="27"/>
  <c r="J98" i="27"/>
  <c r="J99" i="27"/>
  <c r="J97" i="27"/>
  <c r="L115" i="27"/>
  <c r="L114" i="27"/>
  <c r="L116" i="27"/>
  <c r="K114" i="27"/>
  <c r="K115" i="27"/>
  <c r="K116" i="27"/>
  <c r="J114" i="27"/>
  <c r="J116" i="27"/>
  <c r="J115" i="27"/>
  <c r="H114" i="27"/>
  <c r="H116" i="27"/>
  <c r="H115" i="27"/>
  <c r="E115" i="27"/>
  <c r="E114" i="27"/>
  <c r="E116" i="27"/>
  <c r="I114" i="27"/>
  <c r="I116" i="27"/>
  <c r="I115" i="27"/>
  <c r="G116" i="27"/>
  <c r="G114" i="27"/>
  <c r="G115" i="27"/>
  <c r="M115" i="27"/>
  <c r="M114" i="27"/>
  <c r="M116" i="27"/>
  <c r="F115" i="27"/>
  <c r="F114" i="27"/>
  <c r="F116" i="27"/>
  <c r="N115" i="27"/>
  <c r="N114" i="27"/>
  <c r="N116" i="27"/>
  <c r="L106" i="27"/>
  <c r="L108" i="27"/>
  <c r="L107" i="27"/>
  <c r="G107" i="27"/>
  <c r="G106" i="27"/>
  <c r="G108" i="27"/>
  <c r="K108" i="27"/>
  <c r="K106" i="27"/>
  <c r="K107" i="27"/>
  <c r="J108" i="27"/>
  <c r="J106" i="27"/>
  <c r="J107" i="27"/>
  <c r="I108" i="27"/>
  <c r="I106" i="27"/>
  <c r="I107" i="27"/>
  <c r="H107" i="27"/>
  <c r="H106" i="27"/>
  <c r="H108" i="27"/>
  <c r="F107" i="27"/>
  <c r="F106" i="27"/>
  <c r="F108" i="27"/>
  <c r="N107" i="27"/>
  <c r="N106" i="27"/>
  <c r="N108" i="27"/>
  <c r="E106" i="27"/>
  <c r="E107" i="27"/>
  <c r="E108" i="27"/>
  <c r="M106" i="27"/>
  <c r="M108" i="27"/>
  <c r="M107" i="27"/>
  <c r="I9" i="26"/>
  <c r="K9" i="26"/>
  <c r="J8" i="26"/>
  <c r="J9" i="26"/>
  <c r="E9" i="26"/>
  <c r="H8" i="26"/>
  <c r="M8" i="26"/>
  <c r="N8" i="26"/>
  <c r="H9" i="26"/>
  <c r="L6" i="26"/>
  <c r="J6" i="26"/>
  <c r="F9" i="26"/>
  <c r="M6" i="26"/>
  <c r="N9" i="26"/>
  <c r="N6" i="26"/>
  <c r="G6" i="26"/>
  <c r="E8" i="26"/>
  <c r="H6" i="26"/>
  <c r="K8" i="26"/>
  <c r="M9" i="26"/>
  <c r="G9" i="26"/>
  <c r="F6" i="26"/>
  <c r="L9" i="26"/>
  <c r="E6" i="26"/>
  <c r="I6" i="26"/>
  <c r="L8" i="26"/>
  <c r="F8" i="26"/>
  <c r="G8" i="26"/>
  <c r="I8" i="26"/>
  <c r="K6" i="26"/>
  <c r="L7" i="26"/>
  <c r="L15" i="26"/>
  <c r="L13" i="26"/>
  <c r="L12" i="26"/>
  <c r="L10" i="26"/>
  <c r="L14" i="26"/>
  <c r="L11" i="26"/>
  <c r="L20" i="26"/>
  <c r="J7" i="26"/>
  <c r="J20" i="26"/>
  <c r="J11" i="26"/>
  <c r="J10" i="26"/>
  <c r="J15" i="26"/>
  <c r="J14" i="26"/>
  <c r="J12" i="26"/>
  <c r="J13" i="26"/>
  <c r="M7" i="26"/>
  <c r="M11" i="26"/>
  <c r="M13" i="26"/>
  <c r="M14" i="26"/>
  <c r="M12" i="26"/>
  <c r="M10" i="26"/>
  <c r="M20" i="26"/>
  <c r="M15" i="26"/>
  <c r="N7" i="26"/>
  <c r="N10" i="26"/>
  <c r="N14" i="26"/>
  <c r="N12" i="26"/>
  <c r="N13" i="26"/>
  <c r="N20" i="26"/>
  <c r="N11" i="26"/>
  <c r="N15" i="26"/>
  <c r="G7" i="26"/>
  <c r="G11" i="26"/>
  <c r="G12" i="26"/>
  <c r="G15" i="26"/>
  <c r="G10" i="26"/>
  <c r="G13" i="26"/>
  <c r="G14" i="26"/>
  <c r="G20" i="26"/>
  <c r="H7" i="26"/>
  <c r="H12" i="26"/>
  <c r="H13" i="26"/>
  <c r="H10" i="26"/>
  <c r="H11" i="26"/>
  <c r="H20" i="26"/>
  <c r="H14" i="26"/>
  <c r="H15" i="26"/>
  <c r="F7" i="26"/>
  <c r="F13" i="26"/>
  <c r="F11" i="26"/>
  <c r="F20" i="26"/>
  <c r="F15" i="26"/>
  <c r="F14" i="26"/>
  <c r="F12" i="26"/>
  <c r="F10" i="26"/>
  <c r="E7" i="26"/>
  <c r="E10" i="26"/>
  <c r="E12" i="26"/>
  <c r="E13" i="26"/>
  <c r="E20" i="26"/>
  <c r="E15" i="26"/>
  <c r="E11" i="26"/>
  <c r="E14" i="26"/>
  <c r="I7" i="26"/>
  <c r="I15" i="26"/>
  <c r="I11" i="26"/>
  <c r="I10" i="26"/>
  <c r="I14" i="26"/>
  <c r="I13" i="26"/>
  <c r="I12" i="26"/>
  <c r="I20" i="26"/>
  <c r="K7" i="26"/>
  <c r="K13" i="26"/>
  <c r="K20" i="26"/>
  <c r="K12" i="26"/>
  <c r="K14" i="26"/>
  <c r="K15" i="26"/>
  <c r="K10" i="26"/>
  <c r="K11" i="26"/>
  <c r="N8" i="20" l="1"/>
  <c r="F8" i="20"/>
  <c r="K8" i="20"/>
  <c r="J8" i="20"/>
  <c r="M8" i="20"/>
  <c r="E8" i="20"/>
  <c r="L8" i="20"/>
  <c r="I8" i="20"/>
  <c r="H8" i="20"/>
  <c r="G8" i="20"/>
  <c r="H139" i="27"/>
  <c r="N139" i="27"/>
  <c r="J139" i="27"/>
  <c r="G139" i="27"/>
  <c r="F139" i="27"/>
  <c r="M139" i="27"/>
  <c r="E139" i="27"/>
  <c r="I139" i="27"/>
  <c r="L139" i="27"/>
  <c r="K139" i="27"/>
  <c r="D100" i="12"/>
  <c r="D84" i="12"/>
  <c r="D68" i="12"/>
  <c r="D52" i="12"/>
  <c r="D36" i="12"/>
  <c r="D40" i="12"/>
  <c r="D56" i="12"/>
  <c r="D72" i="12"/>
  <c r="D88" i="12"/>
  <c r="D104" i="12"/>
  <c r="F17" i="7"/>
  <c r="D92" i="12"/>
  <c r="D76" i="12"/>
  <c r="D60" i="12"/>
  <c r="D44" i="12"/>
  <c r="D32" i="12"/>
  <c r="D48" i="12"/>
  <c r="D64" i="12"/>
  <c r="D80" i="12"/>
  <c r="D96" i="12"/>
  <c r="I33" i="7"/>
  <c r="I37" i="7"/>
  <c r="I73" i="7"/>
  <c r="I81" i="7"/>
  <c r="I61" i="7"/>
  <c r="I49" i="7"/>
  <c r="I89" i="7"/>
  <c r="I97" i="7"/>
  <c r="I65" i="7"/>
  <c r="I41" i="7"/>
  <c r="E49" i="7"/>
  <c r="E57" i="7"/>
  <c r="E81" i="7"/>
  <c r="E97" i="7"/>
  <c r="E101" i="7"/>
  <c r="E61" i="7"/>
  <c r="E73" i="7"/>
  <c r="E93" i="7"/>
  <c r="E77" i="7"/>
  <c r="K65" i="7"/>
  <c r="K53" i="7"/>
  <c r="K101" i="7"/>
  <c r="K33" i="7"/>
  <c r="K41" i="7"/>
  <c r="K45" i="7"/>
  <c r="K73" i="7"/>
  <c r="E17" i="7"/>
  <c r="J25" i="12"/>
  <c r="E25" i="12"/>
  <c r="G89" i="7"/>
  <c r="G93" i="7"/>
  <c r="G49" i="7"/>
  <c r="G101" i="7"/>
  <c r="G53" i="7"/>
  <c r="G65" i="7"/>
  <c r="G37" i="7"/>
  <c r="G29" i="7"/>
  <c r="G22" i="7"/>
  <c r="G45" i="7"/>
  <c r="F97" i="7"/>
  <c r="F73" i="7"/>
  <c r="F89" i="7"/>
  <c r="F65" i="7"/>
  <c r="F29" i="7"/>
  <c r="F22" i="7"/>
  <c r="F53" i="7"/>
  <c r="F57" i="7"/>
  <c r="F41" i="7"/>
  <c r="J57" i="7"/>
  <c r="J81" i="7"/>
  <c r="J49" i="7"/>
  <c r="J41" i="7"/>
  <c r="J29" i="7"/>
  <c r="J53" i="7"/>
  <c r="J37" i="7"/>
  <c r="J61" i="7"/>
  <c r="J77" i="7"/>
  <c r="G17" i="7"/>
  <c r="D97" i="7"/>
  <c r="D85" i="7"/>
  <c r="D81" i="7"/>
  <c r="D49" i="7"/>
  <c r="D77" i="7"/>
  <c r="D41" i="7"/>
  <c r="D57" i="7"/>
  <c r="I17" i="7"/>
  <c r="H37" i="7"/>
  <c r="H61" i="7"/>
  <c r="H41" i="7"/>
  <c r="H53" i="7"/>
  <c r="H81" i="7"/>
  <c r="H57" i="7"/>
  <c r="H69" i="7"/>
  <c r="H49" i="7"/>
  <c r="H73" i="7"/>
  <c r="K89" i="7"/>
  <c r="H85" i="7"/>
  <c r="K81" i="7"/>
  <c r="D93" i="7"/>
  <c r="D89" i="7"/>
  <c r="K69" i="7"/>
  <c r="D61" i="7"/>
  <c r="I101" i="7"/>
  <c r="I57" i="7"/>
  <c r="I53" i="7"/>
  <c r="I29" i="7"/>
  <c r="I93" i="7"/>
  <c r="I45" i="7"/>
  <c r="E29" i="7"/>
  <c r="E69" i="7"/>
  <c r="E65" i="7"/>
  <c r="E37" i="7"/>
  <c r="E41" i="7"/>
  <c r="E89" i="7"/>
  <c r="E45" i="7"/>
  <c r="J17" i="7"/>
  <c r="K93" i="7"/>
  <c r="K57" i="7"/>
  <c r="K49" i="7"/>
  <c r="K77" i="7"/>
  <c r="K85" i="7"/>
  <c r="K37" i="7"/>
  <c r="K22" i="7"/>
  <c r="K29" i="7"/>
  <c r="K97" i="7"/>
  <c r="K25" i="12"/>
  <c r="I25" i="12"/>
  <c r="D25" i="12"/>
  <c r="G25" i="12"/>
  <c r="F25" i="12"/>
  <c r="H25" i="12"/>
  <c r="G77" i="7"/>
  <c r="G73" i="7"/>
  <c r="G33" i="7"/>
  <c r="G97" i="7"/>
  <c r="G81" i="7"/>
  <c r="G85" i="7"/>
  <c r="G41" i="7"/>
  <c r="G61" i="7"/>
  <c r="F101" i="7"/>
  <c r="F61" i="7"/>
  <c r="F37" i="7"/>
  <c r="F81" i="7"/>
  <c r="F45" i="7"/>
  <c r="F49" i="7"/>
  <c r="F77" i="7"/>
  <c r="F33" i="7"/>
  <c r="F85" i="7"/>
  <c r="F93" i="7"/>
  <c r="J73" i="7"/>
  <c r="J93" i="7"/>
  <c r="J89" i="7"/>
  <c r="J45" i="7"/>
  <c r="J85" i="7"/>
  <c r="J97" i="7"/>
  <c r="J33" i="7"/>
  <c r="J101" i="7"/>
  <c r="D33" i="7"/>
  <c r="D45" i="7"/>
  <c r="D65" i="7"/>
  <c r="D22" i="7"/>
  <c r="D23" i="7" s="1"/>
  <c r="D29" i="7"/>
  <c r="D37" i="7"/>
  <c r="D73" i="7"/>
  <c r="D101" i="7"/>
  <c r="D69" i="7"/>
  <c r="H97" i="7"/>
  <c r="H65" i="7"/>
  <c r="H101" i="7"/>
  <c r="H45" i="7"/>
  <c r="H77" i="7"/>
  <c r="H89" i="7"/>
  <c r="H29" i="7"/>
  <c r="H22" i="7"/>
  <c r="H33" i="7"/>
  <c r="H93" i="7"/>
  <c r="K17" i="7"/>
  <c r="F69" i="7"/>
  <c r="E85" i="7"/>
  <c r="D53" i="7"/>
  <c r="M102" i="27"/>
  <c r="G102" i="27"/>
  <c r="H110" i="27"/>
  <c r="L93" i="27"/>
  <c r="N125" i="27"/>
  <c r="F81" i="27"/>
  <c r="I81" i="27"/>
  <c r="G118" i="27"/>
  <c r="Y18" i="27"/>
  <c r="F102" i="27"/>
  <c r="L110" i="27"/>
  <c r="G125" i="27"/>
  <c r="M81" i="27"/>
  <c r="I118" i="27"/>
  <c r="Y31" i="27"/>
  <c r="H102" i="27"/>
  <c r="K93" i="27"/>
  <c r="H125" i="27"/>
  <c r="E110" i="27"/>
  <c r="M118" i="27"/>
  <c r="Y37" i="27"/>
  <c r="E102" i="27"/>
  <c r="L102" i="27"/>
  <c r="J110" i="27"/>
  <c r="N93" i="27"/>
  <c r="E125" i="27"/>
  <c r="E81" i="27"/>
  <c r="L81" i="27"/>
  <c r="K118" i="27"/>
  <c r="F110" i="27"/>
  <c r="L118" i="27"/>
  <c r="J93" i="27"/>
  <c r="N81" i="27"/>
  <c r="F93" i="27"/>
  <c r="N102" i="27"/>
  <c r="N110" i="27"/>
  <c r="K110" i="27"/>
  <c r="G93" i="27"/>
  <c r="F125" i="27"/>
  <c r="K81" i="27"/>
  <c r="J118" i="27"/>
  <c r="E118" i="27"/>
  <c r="Y72" i="27"/>
  <c r="H93" i="27"/>
  <c r="M110" i="27"/>
  <c r="H118" i="27"/>
  <c r="I125" i="27"/>
  <c r="I102" i="27"/>
  <c r="G110" i="27"/>
  <c r="M93" i="27"/>
  <c r="I93" i="27"/>
  <c r="J125" i="27"/>
  <c r="G81" i="27"/>
  <c r="N118" i="27"/>
  <c r="Y62" i="27"/>
  <c r="J102" i="27"/>
  <c r="I110" i="27"/>
  <c r="E93" i="27"/>
  <c r="M125" i="27"/>
  <c r="K125" i="27"/>
  <c r="H81" i="27"/>
  <c r="F118" i="27"/>
  <c r="K102" i="27"/>
  <c r="L125" i="27"/>
  <c r="J81" i="27"/>
  <c r="Y55" i="27"/>
  <c r="H54" i="26"/>
  <c r="I29" i="26"/>
  <c r="J82" i="27" l="1"/>
  <c r="L126" i="27"/>
  <c r="K103" i="27"/>
  <c r="F119" i="27"/>
  <c r="H82" i="27"/>
  <c r="K126" i="27"/>
  <c r="M126" i="27"/>
  <c r="E94" i="27"/>
  <c r="I111" i="27"/>
  <c r="J103" i="27"/>
  <c r="N119" i="27"/>
  <c r="G82" i="27"/>
  <c r="J126" i="27"/>
  <c r="I94" i="27"/>
  <c r="M94" i="27"/>
  <c r="G111" i="27"/>
  <c r="I103" i="27"/>
  <c r="I126" i="27"/>
  <c r="H119" i="27"/>
  <c r="M111" i="27"/>
  <c r="H94" i="27"/>
  <c r="E119" i="27"/>
  <c r="J119" i="27"/>
  <c r="K82" i="27"/>
  <c r="F126" i="27"/>
  <c r="G94" i="27"/>
  <c r="K111" i="27"/>
  <c r="N111" i="27"/>
  <c r="N103" i="27"/>
  <c r="F94" i="27"/>
  <c r="N82" i="27"/>
  <c r="J94" i="27"/>
  <c r="L119" i="27"/>
  <c r="F111" i="27"/>
  <c r="K119" i="27"/>
  <c r="L82" i="27"/>
  <c r="E82" i="27"/>
  <c r="E126" i="27"/>
  <c r="N94" i="27"/>
  <c r="J111" i="27"/>
  <c r="L103" i="27"/>
  <c r="E103" i="27"/>
  <c r="M119" i="27"/>
  <c r="E111" i="27"/>
  <c r="H126" i="27"/>
  <c r="K94" i="27"/>
  <c r="H103" i="27"/>
  <c r="I119" i="27"/>
  <c r="M82" i="27"/>
  <c r="G126" i="27"/>
  <c r="L111" i="27"/>
  <c r="F103" i="27"/>
  <c r="G119" i="27"/>
  <c r="I82" i="27"/>
  <c r="F82" i="27"/>
  <c r="N126" i="27"/>
  <c r="L94" i="27"/>
  <c r="H111" i="27"/>
  <c r="G103" i="27"/>
  <c r="M103" i="27"/>
  <c r="H14" i="7"/>
  <c r="I14" i="7"/>
  <c r="D17" i="12"/>
  <c r="F14" i="7"/>
  <c r="D14" i="7"/>
  <c r="J14" i="7"/>
  <c r="K17" i="12"/>
  <c r="G14" i="7"/>
  <c r="E17" i="12"/>
  <c r="J17" i="12"/>
  <c r="G17" i="12"/>
  <c r="H17" i="12"/>
  <c r="F17" i="12"/>
  <c r="I17" i="12"/>
  <c r="I77" i="7"/>
  <c r="G69" i="7"/>
  <c r="K61" i="7"/>
  <c r="K19" i="7" s="1"/>
  <c r="I69" i="7"/>
  <c r="G57" i="7"/>
  <c r="E33" i="7"/>
  <c r="E14" i="7" s="1"/>
  <c r="D19" i="7"/>
  <c r="J69" i="7"/>
  <c r="J65" i="7"/>
  <c r="J22" i="7"/>
  <c r="E53" i="7"/>
  <c r="E22" i="7"/>
  <c r="E23" i="7" s="1"/>
  <c r="I85" i="7"/>
  <c r="I22" i="7"/>
  <c r="K14" i="7"/>
  <c r="H26" i="12"/>
  <c r="H22" i="12"/>
  <c r="G22" i="12"/>
  <c r="G26" i="12"/>
  <c r="D22" i="12"/>
  <c r="D26" i="12"/>
  <c r="K23" i="7"/>
  <c r="G23" i="7"/>
  <c r="H23" i="7"/>
  <c r="H19" i="7"/>
  <c r="F22" i="12"/>
  <c r="F26" i="12"/>
  <c r="I22" i="12"/>
  <c r="I26" i="12"/>
  <c r="K22" i="12"/>
  <c r="K26" i="12"/>
  <c r="F23" i="7"/>
  <c r="F19" i="7"/>
  <c r="E26" i="12"/>
  <c r="E22" i="12"/>
  <c r="J26" i="12"/>
  <c r="J22" i="12"/>
  <c r="V37" i="27"/>
  <c r="V55" i="27"/>
  <c r="V72" i="27"/>
  <c r="V45" i="27"/>
  <c r="V62" i="27"/>
  <c r="V31" i="27"/>
  <c r="V7" i="27"/>
  <c r="V18" i="27"/>
  <c r="G84" i="20"/>
  <c r="I126" i="24"/>
  <c r="G102" i="20"/>
  <c r="M33" i="20"/>
  <c r="F74" i="24"/>
  <c r="M103" i="24"/>
  <c r="K118" i="20"/>
  <c r="E40" i="20"/>
  <c r="I125" i="20"/>
  <c r="M80" i="20"/>
  <c r="L144" i="20"/>
  <c r="M85" i="24"/>
  <c r="I34" i="20"/>
  <c r="E74" i="24"/>
  <c r="K129" i="24"/>
  <c r="M40" i="20"/>
  <c r="I95" i="24"/>
  <c r="N88" i="24"/>
  <c r="F125" i="20"/>
  <c r="L74" i="24"/>
  <c r="E20" i="20"/>
  <c r="M110" i="24"/>
  <c r="F17" i="20"/>
  <c r="H107" i="24"/>
  <c r="K65" i="20"/>
  <c r="G41" i="26"/>
  <c r="K125" i="20"/>
  <c r="G138" i="20"/>
  <c r="G113" i="24"/>
  <c r="M71" i="20"/>
  <c r="H77" i="24"/>
  <c r="I110" i="24"/>
  <c r="H126" i="24"/>
  <c r="H144" i="20"/>
  <c r="G76" i="24"/>
  <c r="E102" i="20"/>
  <c r="F110" i="20"/>
  <c r="L76" i="24"/>
  <c r="L39" i="20"/>
  <c r="E74" i="20"/>
  <c r="I93" i="24"/>
  <c r="E30" i="20"/>
  <c r="H21" i="20"/>
  <c r="I102" i="24"/>
  <c r="F41" i="26"/>
  <c r="F84" i="20"/>
  <c r="F102" i="24"/>
  <c r="L50" i="26"/>
  <c r="F30" i="20"/>
  <c r="M93" i="20"/>
  <c r="E64" i="20"/>
  <c r="E17" i="20"/>
  <c r="E128" i="24"/>
  <c r="J115" i="24"/>
  <c r="H128" i="24"/>
  <c r="E65" i="20"/>
  <c r="H95" i="24"/>
  <c r="J100" i="24"/>
  <c r="E116" i="24"/>
  <c r="K74" i="24"/>
  <c r="I44" i="20"/>
  <c r="J54" i="20"/>
  <c r="N102" i="24"/>
  <c r="H113" i="24"/>
  <c r="F80" i="20"/>
  <c r="F85" i="24"/>
  <c r="I113" i="24"/>
  <c r="G115" i="24"/>
  <c r="J58" i="20"/>
  <c r="G128" i="24"/>
  <c r="L44" i="20"/>
  <c r="M54" i="20"/>
  <c r="G93" i="24"/>
  <c r="L65" i="20"/>
  <c r="N36" i="20"/>
  <c r="K75" i="20"/>
  <c r="L47" i="20"/>
  <c r="M36" i="20"/>
  <c r="G95" i="24"/>
  <c r="G96" i="24"/>
  <c r="N118" i="20"/>
  <c r="K128" i="24"/>
  <c r="G118" i="20"/>
  <c r="L125" i="20"/>
  <c r="N126" i="24"/>
  <c r="H84" i="20"/>
  <c r="E129" i="24"/>
  <c r="E76" i="24"/>
  <c r="G77" i="24"/>
  <c r="F87" i="24"/>
  <c r="L102" i="20"/>
  <c r="F93" i="24"/>
  <c r="I17" i="20"/>
  <c r="E100" i="24"/>
  <c r="G110" i="24"/>
  <c r="M95" i="24"/>
  <c r="I85" i="24"/>
  <c r="N74" i="20"/>
  <c r="J88" i="24"/>
  <c r="M21" i="20"/>
  <c r="G107" i="24"/>
  <c r="E113" i="24"/>
  <c r="E80" i="20"/>
  <c r="M129" i="24"/>
  <c r="E95" i="24"/>
  <c r="H75" i="20"/>
  <c r="K102" i="24"/>
  <c r="N47" i="20"/>
  <c r="E48" i="20"/>
  <c r="L84" i="20"/>
  <c r="L85" i="24"/>
  <c r="H54" i="20"/>
  <c r="J41" i="26"/>
  <c r="F64" i="20"/>
  <c r="E39" i="20"/>
  <c r="N102" i="20"/>
  <c r="K96" i="24"/>
  <c r="J33" i="20"/>
  <c r="K84" i="20"/>
  <c r="I47" i="20"/>
  <c r="H93" i="24"/>
  <c r="G83" i="20"/>
  <c r="F74" i="20"/>
  <c r="G34" i="20"/>
  <c r="L100" i="24"/>
  <c r="F100" i="24"/>
  <c r="F21" i="20"/>
  <c r="J75" i="20"/>
  <c r="H100" i="24"/>
  <c r="M93" i="24"/>
  <c r="G58" i="20"/>
  <c r="K110" i="20"/>
  <c r="H71" i="20"/>
  <c r="H102" i="20"/>
  <c r="G17" i="20"/>
  <c r="L34" i="20"/>
  <c r="H17" i="20"/>
  <c r="K71" i="20"/>
  <c r="L17" i="20"/>
  <c r="I36" i="20"/>
  <c r="N75" i="20"/>
  <c r="K88" i="24"/>
  <c r="K64" i="20"/>
  <c r="H110" i="24"/>
  <c r="F102" i="20"/>
  <c r="M65" i="20"/>
  <c r="I65" i="20"/>
  <c r="H39" i="20"/>
  <c r="I50" i="26"/>
  <c r="N93" i="24"/>
  <c r="H110" i="20"/>
  <c r="M83" i="20"/>
  <c r="L48" i="20"/>
  <c r="K36" i="20"/>
  <c r="N138" i="20"/>
  <c r="L88" i="24"/>
  <c r="J34" i="20"/>
  <c r="F76" i="24"/>
  <c r="H20" i="20"/>
  <c r="I64" i="20"/>
  <c r="M74" i="20"/>
  <c r="N44" i="20"/>
  <c r="J64" i="20"/>
  <c r="K100" i="24"/>
  <c r="N77" i="24"/>
  <c r="H57" i="20"/>
  <c r="J47" i="20"/>
  <c r="F77" i="24"/>
  <c r="L33" i="20"/>
  <c r="G110" i="20"/>
  <c r="K34" i="20"/>
  <c r="E71" i="20"/>
  <c r="K44" i="20"/>
  <c r="M76" i="24"/>
  <c r="G47" i="20"/>
  <c r="J93" i="24"/>
  <c r="E54" i="20"/>
  <c r="I96" i="24"/>
  <c r="H74" i="24"/>
  <c r="E83" i="20"/>
  <c r="L113" i="24"/>
  <c r="J76" i="24"/>
  <c r="K110" i="24"/>
  <c r="N34" i="20"/>
  <c r="I61" i="20"/>
  <c r="L96" i="24"/>
  <c r="F107" i="24"/>
  <c r="I115" i="24"/>
  <c r="L75" i="20"/>
  <c r="K83" i="20"/>
  <c r="M126" i="24"/>
  <c r="F126" i="24"/>
  <c r="I74" i="24"/>
  <c r="E93" i="24"/>
  <c r="F61" i="20"/>
  <c r="E61" i="20"/>
  <c r="H103" i="24"/>
  <c r="N41" i="26"/>
  <c r="I144" i="20"/>
  <c r="J65" i="20"/>
  <c r="I93" i="20"/>
  <c r="K17" i="20"/>
  <c r="M44" i="20"/>
  <c r="M34" i="20"/>
  <c r="J107" i="24"/>
  <c r="G87" i="24"/>
  <c r="G36" i="20"/>
  <c r="K58" i="20"/>
  <c r="F20" i="20"/>
  <c r="M84" i="20"/>
  <c r="N21" i="20"/>
  <c r="G50" i="26"/>
  <c r="G144" i="20"/>
  <c r="M100" i="24"/>
  <c r="L64" i="20"/>
  <c r="E118" i="20"/>
  <c r="I87" i="24"/>
  <c r="M88" i="24"/>
  <c r="I58" i="20"/>
  <c r="K30" i="20"/>
  <c r="N57" i="20"/>
  <c r="G100" i="24"/>
  <c r="H85" i="24"/>
  <c r="K87" i="24"/>
  <c r="K93" i="24"/>
  <c r="K144" i="20"/>
  <c r="K103" i="24"/>
  <c r="I77" i="24"/>
  <c r="I88" i="24"/>
  <c r="J103" i="24"/>
  <c r="F75" i="20"/>
  <c r="M115" i="24"/>
  <c r="J113" i="24"/>
  <c r="F138" i="20"/>
  <c r="H58" i="20"/>
  <c r="F129" i="24"/>
  <c r="J61" i="20"/>
  <c r="F65" i="20"/>
  <c r="J102" i="20"/>
  <c r="K116" i="24"/>
  <c r="N58" i="20"/>
  <c r="H96" i="24"/>
  <c r="G57" i="20"/>
  <c r="E107" i="24"/>
  <c r="J110" i="20"/>
  <c r="F88" i="24"/>
  <c r="I129" i="24"/>
  <c r="J44" i="20"/>
  <c r="K57" i="20"/>
  <c r="N80" i="20"/>
  <c r="K77" i="24"/>
  <c r="H30" i="20"/>
  <c r="J57" i="20"/>
  <c r="N93" i="20"/>
  <c r="L95" i="24"/>
  <c r="F36" i="20"/>
  <c r="E41" i="26"/>
  <c r="J118" i="20"/>
  <c r="I75" i="20"/>
  <c r="E96" i="24"/>
  <c r="I39" i="20"/>
  <c r="J95" i="24"/>
  <c r="F58" i="20"/>
  <c r="G71" i="20"/>
  <c r="F95" i="24"/>
  <c r="I30" i="20"/>
  <c r="J36" i="20"/>
  <c r="M20" i="20"/>
  <c r="N116" i="24"/>
  <c r="M75" i="20"/>
  <c r="K33" i="20"/>
  <c r="K40" i="20"/>
  <c r="G126" i="24"/>
  <c r="K80" i="20"/>
  <c r="H118" i="20"/>
  <c r="L93" i="24"/>
  <c r="G85" i="24"/>
  <c r="J74" i="20"/>
  <c r="F110" i="24"/>
  <c r="G30" i="20"/>
  <c r="N96" i="24"/>
  <c r="I71" i="20"/>
  <c r="I33" i="20"/>
  <c r="E58" i="20"/>
  <c r="G64" i="20"/>
  <c r="H61" i="20"/>
  <c r="M109" i="24"/>
  <c r="N110" i="24"/>
  <c r="N50" i="26"/>
  <c r="G54" i="20"/>
  <c r="I76" i="24"/>
  <c r="M41" i="26"/>
  <c r="K20" i="20"/>
  <c r="K61" i="20"/>
  <c r="L107" i="24"/>
  <c r="K54" i="20"/>
  <c r="M102" i="24"/>
  <c r="G129" i="24"/>
  <c r="G74" i="20"/>
  <c r="N95" i="24"/>
  <c r="K93" i="20"/>
  <c r="H33" i="20"/>
  <c r="E144" i="20"/>
  <c r="J128" i="24"/>
  <c r="H87" i="24"/>
  <c r="M77" i="24"/>
  <c r="N64" i="20"/>
  <c r="K21" i="20"/>
  <c r="I116" i="24"/>
  <c r="I74" i="20"/>
  <c r="F44" i="20"/>
  <c r="J71" i="20"/>
  <c r="E57" i="20"/>
  <c r="H48" i="20"/>
  <c r="H76" i="24"/>
  <c r="M110" i="20"/>
  <c r="J77" i="24"/>
  <c r="J39" i="20"/>
  <c r="J138" i="20"/>
  <c r="F93" i="20"/>
  <c r="E75" i="20"/>
  <c r="I41" i="26"/>
  <c r="H102" i="24"/>
  <c r="K109" i="24"/>
  <c r="G93" i="20"/>
  <c r="H116" i="24"/>
  <c r="E110" i="24"/>
  <c r="N76" i="24"/>
  <c r="F40" i="20"/>
  <c r="N17" i="20"/>
  <c r="N22" i="20" s="1"/>
  <c r="E87" i="24"/>
  <c r="H109" i="24"/>
  <c r="J102" i="24"/>
  <c r="I84" i="20"/>
  <c r="K85" i="24"/>
  <c r="F57" i="20"/>
  <c r="G116" i="24"/>
  <c r="L20" i="20"/>
  <c r="F34" i="20"/>
  <c r="N85" i="24"/>
  <c r="E103" i="24"/>
  <c r="I102" i="20"/>
  <c r="L115" i="24"/>
  <c r="E102" i="24"/>
  <c r="K47" i="20"/>
  <c r="I128" i="24"/>
  <c r="I103" i="24"/>
  <c r="J30" i="20"/>
  <c r="N83" i="20"/>
  <c r="J48" i="20"/>
  <c r="L74" i="20"/>
  <c r="M64" i="20"/>
  <c r="K115" i="24"/>
  <c r="G39" i="20"/>
  <c r="N65" i="20"/>
  <c r="M107" i="24"/>
  <c r="E47" i="20"/>
  <c r="N61" i="20"/>
  <c r="K126" i="24"/>
  <c r="N103" i="24"/>
  <c r="H83" i="20"/>
  <c r="G102" i="24"/>
  <c r="L77" i="24"/>
  <c r="L110" i="20"/>
  <c r="G65" i="20"/>
  <c r="L30" i="20"/>
  <c r="L41" i="26"/>
  <c r="M96" i="24"/>
  <c r="M50" i="26"/>
  <c r="N109" i="24"/>
  <c r="E44" i="20"/>
  <c r="N84" i="20"/>
  <c r="L61" i="20"/>
  <c r="F83" i="20"/>
  <c r="H125" i="20"/>
  <c r="H44" i="20"/>
  <c r="E84" i="20"/>
  <c r="F109" i="24"/>
  <c r="L110" i="24"/>
  <c r="H115" i="24"/>
  <c r="G103" i="24"/>
  <c r="G61" i="20"/>
  <c r="J116" i="24"/>
  <c r="I109" i="24"/>
  <c r="L57" i="20"/>
  <c r="M58" i="20"/>
  <c r="J84" i="20"/>
  <c r="E109" i="24"/>
  <c r="E88" i="24"/>
  <c r="I54" i="20"/>
  <c r="H36" i="20"/>
  <c r="F48" i="20"/>
  <c r="N129" i="24"/>
  <c r="N20" i="20"/>
  <c r="E93" i="20"/>
  <c r="G33" i="20"/>
  <c r="G80" i="20"/>
  <c r="K74" i="20"/>
  <c r="H88" i="24"/>
  <c r="E110" i="20"/>
  <c r="M48" i="20"/>
  <c r="N110" i="20"/>
  <c r="E33" i="20"/>
  <c r="M128" i="24"/>
  <c r="J20" i="20"/>
  <c r="K102" i="20"/>
  <c r="F96" i="24"/>
  <c r="K113" i="24"/>
  <c r="L138" i="20"/>
  <c r="G75" i="20"/>
  <c r="G20" i="20"/>
  <c r="J17" i="20"/>
  <c r="G74" i="24"/>
  <c r="L58" i="20"/>
  <c r="F113" i="24"/>
  <c r="F118" i="20"/>
  <c r="F39" i="20"/>
  <c r="L109" i="24"/>
  <c r="H41" i="26"/>
  <c r="L129" i="24"/>
  <c r="J50" i="26"/>
  <c r="J40" i="20"/>
  <c r="J144" i="20"/>
  <c r="J129" i="24"/>
  <c r="M61" i="20"/>
  <c r="F54" i="20"/>
  <c r="H65" i="20"/>
  <c r="J87" i="24"/>
  <c r="N30" i="20"/>
  <c r="E36" i="20"/>
  <c r="E41" i="20" s="1"/>
  <c r="H47" i="20"/>
  <c r="M125" i="20"/>
  <c r="J21" i="20"/>
  <c r="J80" i="20"/>
  <c r="H34" i="20"/>
  <c r="M102" i="20"/>
  <c r="J74" i="24"/>
  <c r="K138" i="20"/>
  <c r="E21" i="20"/>
  <c r="K95" i="24"/>
  <c r="I100" i="24"/>
  <c r="E138" i="20"/>
  <c r="M116" i="24"/>
  <c r="L21" i="20"/>
  <c r="N115" i="24"/>
  <c r="G21" i="20"/>
  <c r="N48" i="20"/>
  <c r="F103" i="24"/>
  <c r="F116" i="24"/>
  <c r="F50" i="26"/>
  <c r="M47" i="20"/>
  <c r="E77" i="24"/>
  <c r="I57" i="20"/>
  <c r="H74" i="20"/>
  <c r="M74" i="24"/>
  <c r="I20" i="20"/>
  <c r="N107" i="24"/>
  <c r="L93" i="20"/>
  <c r="L118" i="20"/>
  <c r="G88" i="24"/>
  <c r="N33" i="20"/>
  <c r="L71" i="20"/>
  <c r="E125" i="20"/>
  <c r="H138" i="20"/>
  <c r="I110" i="20"/>
  <c r="H64" i="20"/>
  <c r="G48" i="20"/>
  <c r="N40" i="20"/>
  <c r="G44" i="20"/>
  <c r="M17" i="20"/>
  <c r="F144" i="20"/>
  <c r="N128" i="24"/>
  <c r="J83" i="20"/>
  <c r="F33" i="20"/>
  <c r="N125" i="20"/>
  <c r="L80" i="20"/>
  <c r="N113" i="24"/>
  <c r="L103" i="24"/>
  <c r="J109" i="24"/>
  <c r="K107" i="24"/>
  <c r="M57" i="20"/>
  <c r="H40" i="20"/>
  <c r="J126" i="24"/>
  <c r="E34" i="20"/>
  <c r="K41" i="26"/>
  <c r="I40" i="20"/>
  <c r="E115" i="24"/>
  <c r="N39" i="20"/>
  <c r="E85" i="24"/>
  <c r="N54" i="20"/>
  <c r="J110" i="24"/>
  <c r="M30" i="20"/>
  <c r="F128" i="24"/>
  <c r="K48" i="20"/>
  <c r="E126" i="24"/>
  <c r="M113" i="24"/>
  <c r="M87" i="24"/>
  <c r="K50" i="26"/>
  <c r="K76" i="24"/>
  <c r="K39" i="20"/>
  <c r="J93" i="20"/>
  <c r="L54" i="20"/>
  <c r="L40" i="20"/>
  <c r="I21" i="20"/>
  <c r="G125" i="20"/>
  <c r="M118" i="20"/>
  <c r="L126" i="24"/>
  <c r="I107" i="24"/>
  <c r="H129" i="24"/>
  <c r="L102" i="24"/>
  <c r="M39" i="20"/>
  <c r="J96" i="24"/>
  <c r="F115" i="24"/>
  <c r="M144" i="20"/>
  <c r="F71" i="20"/>
  <c r="L36" i="20"/>
  <c r="N74" i="24"/>
  <c r="N71" i="20"/>
  <c r="H50" i="26"/>
  <c r="N100" i="24"/>
  <c r="M138" i="20"/>
  <c r="I118" i="20"/>
  <c r="L116" i="24"/>
  <c r="J85" i="24"/>
  <c r="J125" i="20"/>
  <c r="I138" i="20"/>
  <c r="N87" i="24"/>
  <c r="G40" i="20"/>
  <c r="H93" i="20"/>
  <c r="I48" i="20"/>
  <c r="I80" i="20"/>
  <c r="L83" i="20"/>
  <c r="L87" i="24"/>
  <c r="I83" i="20"/>
  <c r="H80" i="20"/>
  <c r="N144" i="20"/>
  <c r="E50" i="26"/>
  <c r="L128" i="24"/>
  <c r="G109" i="24"/>
  <c r="F47" i="20"/>
  <c r="F27" i="20"/>
  <c r="F23" i="20"/>
  <c r="F24" i="20"/>
  <c r="F29" i="20"/>
  <c r="F28" i="20"/>
  <c r="F26" i="20"/>
  <c r="F25" i="20"/>
  <c r="F22" i="20"/>
  <c r="E22" i="20"/>
  <c r="E26" i="20"/>
  <c r="E29" i="20"/>
  <c r="E25" i="20"/>
  <c r="E28" i="20"/>
  <c r="E27" i="20"/>
  <c r="E24" i="20"/>
  <c r="E23" i="20"/>
  <c r="I28" i="20"/>
  <c r="I27" i="20"/>
  <c r="I25" i="20"/>
  <c r="I24" i="20"/>
  <c r="I26" i="20"/>
  <c r="I22" i="20"/>
  <c r="I23" i="20"/>
  <c r="I29" i="20"/>
  <c r="G29" i="20"/>
  <c r="G27" i="20"/>
  <c r="G24" i="20"/>
  <c r="G22" i="20"/>
  <c r="G28" i="20"/>
  <c r="G26" i="20"/>
  <c r="G25" i="20"/>
  <c r="G23" i="20"/>
  <c r="H26" i="20"/>
  <c r="H22" i="20"/>
  <c r="H29" i="20"/>
  <c r="H27" i="20"/>
  <c r="H28" i="20"/>
  <c r="H25" i="20"/>
  <c r="H23" i="20"/>
  <c r="H24" i="20"/>
  <c r="L28" i="20"/>
  <c r="L24" i="20"/>
  <c r="L25" i="20"/>
  <c r="L23" i="20"/>
  <c r="L22" i="20"/>
  <c r="L27" i="20"/>
  <c r="L29" i="20"/>
  <c r="L26" i="20"/>
  <c r="K26" i="20"/>
  <c r="K25" i="20"/>
  <c r="K24" i="20"/>
  <c r="K23" i="20"/>
  <c r="K22" i="20"/>
  <c r="K28" i="20"/>
  <c r="K29" i="20"/>
  <c r="K27" i="20"/>
  <c r="N27" i="20"/>
  <c r="N23" i="20"/>
  <c r="N29" i="20"/>
  <c r="N25" i="20"/>
  <c r="N26" i="20"/>
  <c r="N28" i="20"/>
  <c r="N24" i="20"/>
  <c r="J29" i="20"/>
  <c r="J25" i="20"/>
  <c r="J27" i="20"/>
  <c r="J26" i="20"/>
  <c r="J24" i="20"/>
  <c r="J23" i="20"/>
  <c r="J22" i="20"/>
  <c r="J28" i="20"/>
  <c r="M24" i="20"/>
  <c r="M23" i="20"/>
  <c r="M27" i="20"/>
  <c r="M22" i="20"/>
  <c r="M29" i="20"/>
  <c r="M28" i="20"/>
  <c r="M26" i="20"/>
  <c r="M25" i="20"/>
  <c r="M91" i="20"/>
  <c r="M85" i="20"/>
  <c r="M79" i="20"/>
  <c r="M78" i="20"/>
  <c r="M77" i="20"/>
  <c r="M76" i="20"/>
  <c r="E35" i="20"/>
  <c r="F35" i="20"/>
  <c r="I51" i="20"/>
  <c r="I50" i="20"/>
  <c r="I49" i="20"/>
  <c r="I53" i="20"/>
  <c r="I52" i="20"/>
  <c r="J60" i="20"/>
  <c r="J59" i="20"/>
  <c r="F91" i="20"/>
  <c r="F85" i="20"/>
  <c r="L52" i="20"/>
  <c r="L50" i="20"/>
  <c r="L53" i="20"/>
  <c r="L51" i="20"/>
  <c r="L49" i="20"/>
  <c r="M60" i="20"/>
  <c r="M59" i="20"/>
  <c r="N43" i="20"/>
  <c r="N41" i="20"/>
  <c r="N42" i="20"/>
  <c r="M42" i="20"/>
  <c r="M41" i="20"/>
  <c r="M43" i="20"/>
  <c r="E85" i="20"/>
  <c r="E91" i="20"/>
  <c r="H60" i="20"/>
  <c r="H59" i="20"/>
  <c r="H78" i="20"/>
  <c r="H76" i="20"/>
  <c r="H77" i="20"/>
  <c r="H79" i="20"/>
  <c r="K76" i="20"/>
  <c r="K79" i="20"/>
  <c r="K78" i="20"/>
  <c r="K77" i="20"/>
  <c r="I43" i="20"/>
  <c r="I42" i="20"/>
  <c r="I41" i="20"/>
  <c r="K43" i="20"/>
  <c r="K42" i="20"/>
  <c r="K41" i="20"/>
  <c r="N51" i="20"/>
  <c r="N52" i="20"/>
  <c r="N53" i="20"/>
  <c r="N49" i="20"/>
  <c r="N50" i="20"/>
  <c r="E79" i="20"/>
  <c r="E78" i="20"/>
  <c r="E77" i="20"/>
  <c r="E76" i="20"/>
  <c r="K49" i="20"/>
  <c r="K52" i="20"/>
  <c r="K53" i="20"/>
  <c r="K51" i="20"/>
  <c r="K50" i="20"/>
  <c r="E60" i="20"/>
  <c r="E59" i="20"/>
  <c r="I69" i="20"/>
  <c r="I67" i="20"/>
  <c r="I68" i="20"/>
  <c r="I66" i="20"/>
  <c r="I70" i="20"/>
  <c r="F67" i="20"/>
  <c r="F69" i="20"/>
  <c r="F66" i="20"/>
  <c r="F68" i="20"/>
  <c r="F70" i="20"/>
  <c r="E70" i="20"/>
  <c r="E66" i="20"/>
  <c r="E68" i="20"/>
  <c r="E69" i="20"/>
  <c r="E67" i="20"/>
  <c r="M50" i="20"/>
  <c r="M53" i="20"/>
  <c r="M49" i="20"/>
  <c r="M52" i="20"/>
  <c r="M51" i="20"/>
  <c r="G43" i="20"/>
  <c r="G41" i="20"/>
  <c r="G42" i="20"/>
  <c r="K35" i="20"/>
  <c r="J69" i="20"/>
  <c r="J66" i="20"/>
  <c r="J68" i="20"/>
  <c r="J67" i="20"/>
  <c r="J70" i="20"/>
  <c r="J53" i="20"/>
  <c r="J49" i="20"/>
  <c r="J50" i="20"/>
  <c r="J52" i="20"/>
  <c r="J51" i="20"/>
  <c r="N91" i="20"/>
  <c r="N85" i="20"/>
  <c r="H35" i="20"/>
  <c r="F43" i="20"/>
  <c r="F42" i="20"/>
  <c r="F41" i="20"/>
  <c r="G78" i="20"/>
  <c r="G79" i="20"/>
  <c r="G76" i="20"/>
  <c r="G77" i="20"/>
  <c r="I35" i="20"/>
  <c r="J41" i="20"/>
  <c r="J43" i="20"/>
  <c r="J42" i="20"/>
  <c r="K85" i="20"/>
  <c r="K91" i="20"/>
  <c r="G35" i="20"/>
  <c r="I77" i="20"/>
  <c r="I78" i="20"/>
  <c r="I76" i="20"/>
  <c r="I79" i="20"/>
  <c r="H70" i="20"/>
  <c r="H66" i="20"/>
  <c r="H68" i="20"/>
  <c r="H67" i="20"/>
  <c r="H69" i="20"/>
  <c r="G60" i="20"/>
  <c r="G59" i="20"/>
  <c r="K68" i="20"/>
  <c r="K67" i="20"/>
  <c r="K69" i="20"/>
  <c r="K66" i="20"/>
  <c r="K70" i="20"/>
  <c r="K59" i="20"/>
  <c r="K60" i="20"/>
  <c r="F51" i="20"/>
  <c r="F50" i="20"/>
  <c r="F53" i="20"/>
  <c r="F52" i="20"/>
  <c r="F49" i="20"/>
  <c r="J77" i="20"/>
  <c r="J79" i="20"/>
  <c r="J76" i="20"/>
  <c r="J78" i="20"/>
  <c r="J35" i="20"/>
  <c r="N67" i="20"/>
  <c r="N66" i="20"/>
  <c r="N68" i="20"/>
  <c r="N69" i="20"/>
  <c r="N70" i="20"/>
  <c r="L35" i="20"/>
  <c r="E53" i="20"/>
  <c r="E51" i="20"/>
  <c r="E49" i="20"/>
  <c r="E52" i="20"/>
  <c r="E50" i="20"/>
  <c r="L68" i="20"/>
  <c r="L66" i="20"/>
  <c r="L70" i="20"/>
  <c r="L69" i="20"/>
  <c r="L67" i="20"/>
  <c r="H50" i="20"/>
  <c r="H52" i="20"/>
  <c r="H51" i="20"/>
  <c r="H49" i="20"/>
  <c r="H53" i="20"/>
  <c r="G70" i="20"/>
  <c r="G69" i="20"/>
  <c r="G68" i="20"/>
  <c r="G67" i="20"/>
  <c r="G66" i="20"/>
  <c r="I60" i="20"/>
  <c r="I59" i="20"/>
  <c r="H42" i="20"/>
  <c r="H41" i="20"/>
  <c r="H43" i="20"/>
  <c r="G91" i="20"/>
  <c r="G85" i="20"/>
  <c r="M67" i="20"/>
  <c r="M70" i="20"/>
  <c r="M69" i="20"/>
  <c r="M68" i="20"/>
  <c r="M66" i="20"/>
  <c r="F59" i="20"/>
  <c r="F60" i="20"/>
  <c r="N35" i="20"/>
  <c r="E43" i="20"/>
  <c r="E42" i="20"/>
  <c r="J91" i="20"/>
  <c r="J85" i="20"/>
  <c r="L76" i="20"/>
  <c r="L78" i="20"/>
  <c r="L77" i="20"/>
  <c r="L79" i="20"/>
  <c r="G53" i="20"/>
  <c r="G52" i="20"/>
  <c r="G50" i="20"/>
  <c r="G51" i="20"/>
  <c r="G49" i="20"/>
  <c r="L85" i="20"/>
  <c r="L91" i="20"/>
  <c r="N59" i="20"/>
  <c r="N60" i="20"/>
  <c r="M35" i="20"/>
  <c r="L60" i="20"/>
  <c r="L59" i="20"/>
  <c r="F79" i="20"/>
  <c r="F77" i="20"/>
  <c r="F78" i="20"/>
  <c r="F76" i="20"/>
  <c r="L43" i="20"/>
  <c r="L42" i="20"/>
  <c r="L41" i="20"/>
  <c r="N79" i="20"/>
  <c r="N78" i="20"/>
  <c r="N77" i="20"/>
  <c r="N76" i="20"/>
  <c r="I91" i="20"/>
  <c r="I85" i="20"/>
  <c r="H91" i="20"/>
  <c r="H85" i="20"/>
  <c r="M86" i="20"/>
  <c r="M90" i="20"/>
  <c r="M89" i="20"/>
  <c r="F86" i="20"/>
  <c r="F90" i="20"/>
  <c r="F89" i="20"/>
  <c r="E86" i="20"/>
  <c r="E90" i="20"/>
  <c r="E89" i="20"/>
  <c r="N86" i="20"/>
  <c r="N90" i="20"/>
  <c r="N89" i="20"/>
  <c r="K86" i="20"/>
  <c r="K90" i="20"/>
  <c r="K89" i="20"/>
  <c r="G89" i="20"/>
  <c r="G86" i="20"/>
  <c r="G90" i="20"/>
  <c r="J89" i="20"/>
  <c r="J90" i="20"/>
  <c r="J86" i="20"/>
  <c r="L86" i="20"/>
  <c r="L90" i="20"/>
  <c r="L89" i="20"/>
  <c r="I89" i="20"/>
  <c r="I86" i="20"/>
  <c r="I90" i="20"/>
  <c r="H89" i="20"/>
  <c r="H86" i="20"/>
  <c r="H90" i="20"/>
  <c r="M87" i="20"/>
  <c r="M88" i="20"/>
  <c r="F87" i="20"/>
  <c r="F88" i="20"/>
  <c r="E87" i="20"/>
  <c r="E88" i="20"/>
  <c r="N87" i="20"/>
  <c r="N88" i="20"/>
  <c r="K87" i="20"/>
  <c r="K88" i="20"/>
  <c r="G88" i="20"/>
  <c r="G87" i="20"/>
  <c r="J88" i="20"/>
  <c r="J87" i="20"/>
  <c r="L87" i="20"/>
  <c r="L88" i="20"/>
  <c r="I88" i="20"/>
  <c r="I87" i="20"/>
  <c r="H88" i="20"/>
  <c r="H87" i="20"/>
  <c r="I130" i="24"/>
  <c r="F83" i="24"/>
  <c r="F79" i="24"/>
  <c r="F82" i="24"/>
  <c r="F78" i="24"/>
  <c r="F80" i="24"/>
  <c r="F81" i="24"/>
  <c r="F84" i="24"/>
  <c r="M91" i="24"/>
  <c r="M89" i="24"/>
  <c r="M90" i="24"/>
  <c r="M92" i="24"/>
  <c r="E83" i="24"/>
  <c r="E79" i="24"/>
  <c r="E81" i="24"/>
  <c r="E82" i="24"/>
  <c r="E80" i="24"/>
  <c r="E78" i="24"/>
  <c r="E84" i="24"/>
  <c r="L84" i="24"/>
  <c r="L80" i="24"/>
  <c r="L83" i="24"/>
  <c r="L79" i="24"/>
  <c r="L78" i="24"/>
  <c r="L81" i="24"/>
  <c r="L82" i="24"/>
  <c r="H112" i="24"/>
  <c r="H111" i="24"/>
  <c r="G122" i="24"/>
  <c r="G118" i="24"/>
  <c r="G124" i="24"/>
  <c r="G120" i="24"/>
  <c r="G121" i="24"/>
  <c r="G117" i="24"/>
  <c r="G119" i="24"/>
  <c r="G123" i="24"/>
  <c r="H130" i="24"/>
  <c r="I97" i="24"/>
  <c r="I99" i="24"/>
  <c r="I98" i="24"/>
  <c r="J105" i="24"/>
  <c r="J104" i="24"/>
  <c r="J106" i="24"/>
  <c r="K84" i="24"/>
  <c r="K80" i="24"/>
  <c r="K82" i="24"/>
  <c r="K78" i="24"/>
  <c r="K83" i="24"/>
  <c r="K81" i="24"/>
  <c r="K79" i="24"/>
  <c r="H122" i="24"/>
  <c r="H118" i="24"/>
  <c r="H121" i="24"/>
  <c r="H117" i="24"/>
  <c r="H124" i="24"/>
  <c r="H119" i="24"/>
  <c r="H120" i="24"/>
  <c r="H123" i="24"/>
  <c r="F91" i="24"/>
  <c r="F90" i="24"/>
  <c r="F89" i="24"/>
  <c r="F92" i="24"/>
  <c r="I121" i="24"/>
  <c r="I117" i="24"/>
  <c r="I123" i="24"/>
  <c r="I119" i="24"/>
  <c r="I124" i="24"/>
  <c r="I122" i="24"/>
  <c r="I120" i="24"/>
  <c r="I118" i="24"/>
  <c r="G98" i="24"/>
  <c r="G99" i="24"/>
  <c r="G97" i="24"/>
  <c r="N130" i="24"/>
  <c r="F99" i="24"/>
  <c r="F98" i="24"/>
  <c r="F97" i="24"/>
  <c r="E105" i="24"/>
  <c r="E106" i="24"/>
  <c r="E104" i="24"/>
  <c r="I89" i="24"/>
  <c r="I91" i="24"/>
  <c r="I92" i="24"/>
  <c r="I90" i="24"/>
  <c r="G112" i="24"/>
  <c r="G111" i="24"/>
  <c r="E123" i="24"/>
  <c r="E119" i="24"/>
  <c r="E121" i="24"/>
  <c r="E117" i="24"/>
  <c r="E118" i="24"/>
  <c r="E124" i="24"/>
  <c r="E120" i="24"/>
  <c r="E122" i="24"/>
  <c r="L92" i="24"/>
  <c r="L91" i="24"/>
  <c r="L90" i="24"/>
  <c r="L89" i="24"/>
  <c r="H98" i="24"/>
  <c r="H97" i="24"/>
  <c r="H99" i="24"/>
  <c r="L104" i="24"/>
  <c r="L105" i="24"/>
  <c r="L106" i="24"/>
  <c r="F106" i="24"/>
  <c r="F104" i="24"/>
  <c r="F105" i="24"/>
  <c r="H106" i="24"/>
  <c r="H105" i="24"/>
  <c r="H104" i="24"/>
  <c r="M99" i="24"/>
  <c r="M97" i="24"/>
  <c r="M98" i="24"/>
  <c r="N99" i="24"/>
  <c r="N98" i="24"/>
  <c r="N97" i="24"/>
  <c r="K104" i="24"/>
  <c r="K106" i="24"/>
  <c r="K105" i="24"/>
  <c r="J97" i="24"/>
  <c r="J99" i="24"/>
  <c r="J98" i="24"/>
  <c r="H82" i="24"/>
  <c r="H78" i="24"/>
  <c r="H81" i="24"/>
  <c r="H80" i="24"/>
  <c r="H83" i="24"/>
  <c r="H84" i="24"/>
  <c r="H79" i="24"/>
  <c r="L124" i="24"/>
  <c r="L120" i="24"/>
  <c r="L123" i="24"/>
  <c r="L119" i="24"/>
  <c r="L122" i="24"/>
  <c r="L117" i="24"/>
  <c r="L118" i="24"/>
  <c r="L121" i="24"/>
  <c r="F112" i="24"/>
  <c r="F111" i="24"/>
  <c r="M130" i="24"/>
  <c r="F130" i="24"/>
  <c r="I81" i="24"/>
  <c r="I83" i="24"/>
  <c r="I79" i="24"/>
  <c r="I80" i="24"/>
  <c r="I78" i="24"/>
  <c r="I84" i="24"/>
  <c r="I82" i="24"/>
  <c r="E99" i="24"/>
  <c r="E97" i="24"/>
  <c r="E98" i="24"/>
  <c r="J111" i="24"/>
  <c r="J112" i="24"/>
  <c r="M105" i="24"/>
  <c r="M106" i="24"/>
  <c r="M104" i="24"/>
  <c r="G106" i="24"/>
  <c r="G104" i="24"/>
  <c r="G105" i="24"/>
  <c r="H90" i="24"/>
  <c r="H89" i="24"/>
  <c r="H92" i="24"/>
  <c r="H91" i="24"/>
  <c r="K98" i="24"/>
  <c r="K99" i="24"/>
  <c r="K97" i="24"/>
  <c r="J121" i="24"/>
  <c r="J117" i="24"/>
  <c r="J124" i="24"/>
  <c r="J120" i="24"/>
  <c r="J119" i="24"/>
  <c r="J122" i="24"/>
  <c r="J123" i="24"/>
  <c r="J118" i="24"/>
  <c r="E111" i="24"/>
  <c r="E112" i="24"/>
  <c r="G130" i="24"/>
  <c r="L99" i="24"/>
  <c r="L97" i="24"/>
  <c r="L98" i="24"/>
  <c r="G90" i="24"/>
  <c r="G92" i="24"/>
  <c r="G89" i="24"/>
  <c r="G91" i="24"/>
  <c r="L112" i="24"/>
  <c r="L111" i="24"/>
  <c r="K92" i="24"/>
  <c r="K90" i="24"/>
  <c r="K91" i="24"/>
  <c r="K89" i="24"/>
  <c r="N91" i="24"/>
  <c r="N90" i="24"/>
  <c r="N89" i="24"/>
  <c r="N92" i="24"/>
  <c r="M111" i="24"/>
  <c r="M112" i="24"/>
  <c r="K130" i="24"/>
  <c r="K124" i="24"/>
  <c r="K120" i="24"/>
  <c r="K122" i="24"/>
  <c r="K118" i="24"/>
  <c r="K119" i="24"/>
  <c r="K117" i="24"/>
  <c r="K121" i="24"/>
  <c r="K123" i="24"/>
  <c r="G82" i="24"/>
  <c r="G78" i="24"/>
  <c r="G84" i="24"/>
  <c r="G80" i="24"/>
  <c r="G81" i="24"/>
  <c r="G79" i="24"/>
  <c r="G83" i="24"/>
  <c r="F123" i="24"/>
  <c r="F119" i="24"/>
  <c r="F122" i="24"/>
  <c r="F118" i="24"/>
  <c r="F121" i="24"/>
  <c r="F124" i="24"/>
  <c r="F117" i="24"/>
  <c r="F120" i="24"/>
  <c r="J81" i="24"/>
  <c r="J84" i="24"/>
  <c r="J80" i="24"/>
  <c r="J78" i="24"/>
  <c r="J83" i="24"/>
  <c r="J79" i="24"/>
  <c r="J82" i="24"/>
  <c r="I105" i="24"/>
  <c r="I104" i="24"/>
  <c r="I106" i="24"/>
  <c r="M83" i="24"/>
  <c r="M79" i="24"/>
  <c r="M81" i="24"/>
  <c r="M78" i="24"/>
  <c r="M84" i="24"/>
  <c r="M82" i="24"/>
  <c r="M80" i="24"/>
  <c r="N112" i="24"/>
  <c r="N111" i="24"/>
  <c r="N123" i="24"/>
  <c r="N119" i="24"/>
  <c r="N122" i="24"/>
  <c r="N118" i="24"/>
  <c r="N117" i="24"/>
  <c r="N120" i="24"/>
  <c r="N121" i="24"/>
  <c r="N124" i="24"/>
  <c r="K112" i="24"/>
  <c r="K111" i="24"/>
  <c r="J130" i="24"/>
  <c r="E91" i="24"/>
  <c r="E89" i="24"/>
  <c r="E90" i="24"/>
  <c r="E92" i="24"/>
  <c r="E130" i="24"/>
  <c r="M123" i="24"/>
  <c r="M119" i="24"/>
  <c r="M121" i="24"/>
  <c r="M117" i="24"/>
  <c r="M122" i="24"/>
  <c r="M118" i="24"/>
  <c r="M120" i="24"/>
  <c r="M124" i="24"/>
  <c r="L130" i="24"/>
  <c r="I111" i="24"/>
  <c r="I112" i="24"/>
  <c r="N83" i="24"/>
  <c r="N79" i="24"/>
  <c r="N82" i="24"/>
  <c r="N78" i="24"/>
  <c r="N81" i="24"/>
  <c r="N84" i="24"/>
  <c r="N80" i="24"/>
  <c r="N106" i="24"/>
  <c r="N105" i="24"/>
  <c r="N104" i="24"/>
  <c r="J89" i="24"/>
  <c r="J92" i="24"/>
  <c r="J90" i="24"/>
  <c r="J91" i="24"/>
  <c r="J145" i="20" l="1"/>
  <c r="H103" i="20"/>
  <c r="I111" i="20"/>
  <c r="F111" i="20"/>
  <c r="K145" i="20"/>
  <c r="M119" i="20"/>
  <c r="H119" i="20"/>
  <c r="L111" i="20"/>
  <c r="F145" i="20"/>
  <c r="I103" i="20"/>
  <c r="G111" i="20"/>
  <c r="M103" i="20"/>
  <c r="M145" i="20"/>
  <c r="M111" i="20"/>
  <c r="H139" i="20"/>
  <c r="J94" i="20"/>
  <c r="J119" i="20"/>
  <c r="N94" i="20"/>
  <c r="G145" i="20"/>
  <c r="I119" i="20"/>
  <c r="M139" i="20"/>
  <c r="L145" i="20"/>
  <c r="I94" i="20"/>
  <c r="G119" i="20"/>
  <c r="F94" i="20"/>
  <c r="N111" i="20"/>
  <c r="G126" i="20"/>
  <c r="K111" i="20"/>
  <c r="K139" i="20"/>
  <c r="L139" i="20"/>
  <c r="N145" i="20"/>
  <c r="I126" i="20"/>
  <c r="M126" i="20"/>
  <c r="H126" i="20"/>
  <c r="K103" i="20"/>
  <c r="N119" i="20"/>
  <c r="H145" i="20"/>
  <c r="G103" i="20"/>
  <c r="F119" i="20"/>
  <c r="N126" i="20"/>
  <c r="J103" i="20"/>
  <c r="J139" i="20"/>
  <c r="L119" i="20"/>
  <c r="I139" i="20"/>
  <c r="I145" i="20"/>
  <c r="J111" i="20"/>
  <c r="N139" i="20"/>
  <c r="G139" i="20"/>
  <c r="G94" i="20"/>
  <c r="L126" i="20"/>
  <c r="J126" i="20"/>
  <c r="K119" i="20"/>
  <c r="H94" i="20"/>
  <c r="F103" i="20"/>
  <c r="F139" i="20"/>
  <c r="N103" i="20"/>
  <c r="K126" i="20"/>
  <c r="L94" i="20"/>
  <c r="M94" i="20"/>
  <c r="L103" i="20"/>
  <c r="K94" i="20"/>
  <c r="H111" i="20"/>
  <c r="F126" i="20"/>
  <c r="E126" i="20"/>
  <c r="E103" i="20"/>
  <c r="E139" i="20"/>
  <c r="E94" i="20"/>
  <c r="E145" i="20"/>
  <c r="E111" i="20"/>
  <c r="E119" i="20"/>
  <c r="F18" i="12"/>
  <c r="H19" i="12"/>
  <c r="K18" i="12"/>
  <c r="F16" i="7"/>
  <c r="I16" i="7"/>
  <c r="H16" i="7"/>
  <c r="H15" i="7"/>
  <c r="I15" i="7"/>
  <c r="F15" i="7"/>
  <c r="D19" i="12"/>
  <c r="D16" i="7"/>
  <c r="D18" i="12"/>
  <c r="K19" i="12"/>
  <c r="J15" i="7"/>
  <c r="E15" i="7"/>
  <c r="E16" i="7"/>
  <c r="J16" i="7"/>
  <c r="D15" i="7"/>
  <c r="G15" i="7"/>
  <c r="G16" i="7"/>
  <c r="G18" i="12"/>
  <c r="E19" i="12"/>
  <c r="E18" i="12"/>
  <c r="J19" i="12"/>
  <c r="J18" i="12"/>
  <c r="J19" i="7"/>
  <c r="J20" i="7" s="1"/>
  <c r="E19" i="7"/>
  <c r="E21" i="7" s="1"/>
  <c r="I18" i="12"/>
  <c r="I19" i="12"/>
  <c r="H18" i="12"/>
  <c r="G19" i="12"/>
  <c r="F19" i="12"/>
  <c r="G19" i="7"/>
  <c r="G21" i="7" s="1"/>
  <c r="J23" i="7"/>
  <c r="D20" i="7"/>
  <c r="D21" i="7"/>
  <c r="I23" i="7"/>
  <c r="I19" i="7"/>
  <c r="J23" i="12"/>
  <c r="J24" i="12"/>
  <c r="E23" i="12"/>
  <c r="E24" i="12"/>
  <c r="F20" i="7"/>
  <c r="F21" i="7"/>
  <c r="H21" i="7"/>
  <c r="H20" i="7"/>
  <c r="D23" i="12"/>
  <c r="D24" i="12"/>
  <c r="G24" i="12"/>
  <c r="G23" i="12"/>
  <c r="K24" i="12"/>
  <c r="K23" i="12"/>
  <c r="I23" i="12"/>
  <c r="I24" i="12"/>
  <c r="F24" i="12"/>
  <c r="F23" i="12"/>
  <c r="K21" i="7"/>
  <c r="K20" i="7"/>
  <c r="H23" i="12"/>
  <c r="H24" i="12"/>
  <c r="K15" i="7"/>
  <c r="K16" i="7"/>
  <c r="W7" i="27"/>
  <c r="X7" i="27"/>
  <c r="W37" i="27"/>
  <c r="X37" i="27"/>
  <c r="X45" i="27"/>
  <c r="W72" i="27"/>
  <c r="W31" i="27"/>
  <c r="X31" i="27"/>
  <c r="X55" i="27"/>
  <c r="W62" i="27"/>
  <c r="X62" i="27"/>
  <c r="W45" i="27"/>
  <c r="X18" i="27"/>
  <c r="W55" i="27"/>
  <c r="W18" i="27"/>
  <c r="X72" i="27"/>
  <c r="G127" i="24"/>
  <c r="H86" i="24"/>
  <c r="I72" i="20"/>
  <c r="J62" i="20"/>
  <c r="M62" i="20"/>
  <c r="F31" i="20"/>
  <c r="G31" i="20"/>
  <c r="K31" i="20"/>
  <c r="L86" i="24"/>
  <c r="I114" i="24"/>
  <c r="I31" i="20"/>
  <c r="J72" i="20"/>
  <c r="F62" i="20"/>
  <c r="G45" i="20"/>
  <c r="J55" i="20"/>
  <c r="F114" i="24"/>
  <c r="I75" i="24"/>
  <c r="N75" i="24"/>
  <c r="H72" i="20"/>
  <c r="K114" i="24"/>
  <c r="E31" i="20"/>
  <c r="N81" i="20"/>
  <c r="G101" i="24"/>
  <c r="G114" i="24"/>
  <c r="I55" i="20"/>
  <c r="N31" i="20"/>
  <c r="N86" i="24"/>
  <c r="M45" i="20"/>
  <c r="N45" i="20"/>
  <c r="H55" i="20"/>
  <c r="L114" i="24"/>
  <c r="K108" i="24"/>
  <c r="K81" i="20"/>
  <c r="L108" i="24"/>
  <c r="F101" i="24"/>
  <c r="M37" i="20"/>
  <c r="I86" i="24"/>
  <c r="H45" i="20"/>
  <c r="G94" i="24"/>
  <c r="I101" i="24"/>
  <c r="L37" i="20"/>
  <c r="H94" i="24"/>
  <c r="E108" i="24"/>
  <c r="G86" i="24"/>
  <c r="L55" i="20"/>
  <c r="K94" i="24"/>
  <c r="G75" i="24"/>
  <c r="E18" i="20"/>
  <c r="I18" i="20"/>
  <c r="N114" i="24"/>
  <c r="M55" i="20"/>
  <c r="J127" i="24"/>
  <c r="K86" i="24"/>
  <c r="N127" i="24"/>
  <c r="E94" i="24"/>
  <c r="E81" i="20"/>
  <c r="J75" i="24"/>
  <c r="M114" i="24"/>
  <c r="I45" i="20"/>
  <c r="E55" i="20"/>
  <c r="F37" i="20"/>
  <c r="M108" i="24"/>
  <c r="K18" i="20"/>
  <c r="K127" i="24"/>
  <c r="M18" i="20"/>
  <c r="F127" i="24"/>
  <c r="E62" i="20"/>
  <c r="E72" i="20"/>
  <c r="H62" i="20"/>
  <c r="H114" i="24"/>
  <c r="M31" i="20"/>
  <c r="N94" i="24"/>
  <c r="K75" i="24"/>
  <c r="J18" i="20"/>
  <c r="J108" i="24"/>
  <c r="H127" i="24"/>
  <c r="E75" i="24"/>
  <c r="H37" i="20"/>
  <c r="K72" i="20"/>
  <c r="L127" i="24"/>
  <c r="F75" i="24"/>
  <c r="I37" i="20"/>
  <c r="G55" i="20"/>
  <c r="J86" i="24"/>
  <c r="L75" i="24"/>
  <c r="J37" i="20"/>
  <c r="J45" i="20"/>
  <c r="L72" i="20"/>
  <c r="M81" i="20"/>
  <c r="L101" i="24"/>
  <c r="N55" i="20"/>
  <c r="I108" i="24"/>
  <c r="N62" i="20"/>
  <c r="N37" i="20"/>
  <c r="M101" i="24"/>
  <c r="H81" i="20"/>
  <c r="G18" i="20"/>
  <c r="I62" i="20"/>
  <c r="H108" i="24"/>
  <c r="N72" i="20"/>
  <c r="E45" i="20"/>
  <c r="H18" i="20"/>
  <c r="G108" i="24"/>
  <c r="L31" i="20"/>
  <c r="K62" i="20"/>
  <c r="F72" i="20"/>
  <c r="H31" i="20"/>
  <c r="F94" i="24"/>
  <c r="L94" i="24"/>
  <c r="K55" i="20"/>
  <c r="E37" i="20"/>
  <c r="L81" i="20"/>
  <c r="J94" i="24"/>
  <c r="G62" i="20"/>
  <c r="E101" i="24"/>
  <c r="L18" i="20"/>
  <c r="N101" i="24"/>
  <c r="J101" i="24"/>
  <c r="L45" i="20"/>
  <c r="M127" i="24"/>
  <c r="G81" i="20"/>
  <c r="F108" i="24"/>
  <c r="K37" i="20"/>
  <c r="H101" i="24"/>
  <c r="K45" i="20"/>
  <c r="L62" i="20"/>
  <c r="M86" i="24"/>
  <c r="N108" i="24"/>
  <c r="E114" i="24"/>
  <c r="I127" i="24"/>
  <c r="J114" i="24"/>
  <c r="I81" i="20"/>
  <c r="G37" i="20"/>
  <c r="F81" i="20"/>
  <c r="J81" i="20"/>
  <c r="G72" i="20"/>
  <c r="F45" i="20"/>
  <c r="K101" i="24"/>
  <c r="E127" i="24"/>
  <c r="E86" i="24"/>
  <c r="M72" i="20"/>
  <c r="M94" i="24"/>
  <c r="I94" i="24"/>
  <c r="F55" i="20"/>
  <c r="N18" i="20"/>
  <c r="F86" i="24"/>
  <c r="H75" i="24"/>
  <c r="F18" i="20"/>
  <c r="M75" i="24"/>
  <c r="J31" i="20"/>
  <c r="K10" i="27"/>
  <c r="L9" i="27"/>
  <c r="F6" i="27"/>
  <c r="L10" i="27"/>
  <c r="H6" i="27"/>
  <c r="J10" i="27"/>
  <c r="I10" i="27"/>
  <c r="N9" i="27"/>
  <c r="N6" i="27"/>
  <c r="M10" i="27"/>
  <c r="G6" i="27"/>
  <c r="M9" i="27"/>
  <c r="J9" i="27"/>
  <c r="E6" i="27"/>
  <c r="E9" i="27"/>
  <c r="K9" i="27"/>
  <c r="M6" i="27"/>
  <c r="E10" i="27"/>
  <c r="F9" i="27"/>
  <c r="G9" i="27"/>
  <c r="J6" i="27"/>
  <c r="N10" i="27"/>
  <c r="K6" i="27"/>
  <c r="F10" i="27"/>
  <c r="L6" i="27"/>
  <c r="H9" i="27"/>
  <c r="H10" i="27"/>
  <c r="I6" i="27"/>
  <c r="I9" i="27"/>
  <c r="G10" i="27"/>
  <c r="L39" i="27"/>
  <c r="H39" i="27"/>
  <c r="G39" i="27"/>
  <c r="M36" i="27"/>
  <c r="E36" i="27"/>
  <c r="L36" i="27"/>
  <c r="K40" i="27"/>
  <c r="M40" i="27"/>
  <c r="N36" i="27"/>
  <c r="I39" i="27"/>
  <c r="N40" i="27"/>
  <c r="G36" i="27"/>
  <c r="E40" i="27"/>
  <c r="H36" i="27"/>
  <c r="F40" i="27"/>
  <c r="F36" i="27"/>
  <c r="M39" i="27"/>
  <c r="I36" i="27"/>
  <c r="E39" i="27"/>
  <c r="J40" i="27"/>
  <c r="F39" i="27"/>
  <c r="N39" i="27"/>
  <c r="L40" i="27"/>
  <c r="G40" i="27"/>
  <c r="J36" i="27"/>
  <c r="J39" i="27"/>
  <c r="H40" i="27"/>
  <c r="K36" i="27"/>
  <c r="K39" i="27"/>
  <c r="I40" i="27"/>
  <c r="L71" i="27"/>
  <c r="I74" i="27"/>
  <c r="G71" i="27"/>
  <c r="L75" i="27"/>
  <c r="M75" i="27"/>
  <c r="H71" i="27"/>
  <c r="H74" i="27"/>
  <c r="M74" i="27"/>
  <c r="L74" i="27"/>
  <c r="I75" i="27"/>
  <c r="M71" i="27"/>
  <c r="J75" i="27"/>
  <c r="I71" i="27"/>
  <c r="K74" i="27"/>
  <c r="K75" i="27"/>
  <c r="N71" i="27"/>
  <c r="N74" i="27"/>
  <c r="E71" i="27"/>
  <c r="E74" i="27"/>
  <c r="F75" i="27"/>
  <c r="F71" i="27"/>
  <c r="G74" i="27"/>
  <c r="G75" i="27"/>
  <c r="K71" i="27"/>
  <c r="F74" i="27"/>
  <c r="E75" i="27"/>
  <c r="N75" i="27"/>
  <c r="J71" i="27"/>
  <c r="J74" i="27"/>
  <c r="H75" i="27"/>
  <c r="L30" i="27"/>
  <c r="M34" i="27"/>
  <c r="K33" i="27"/>
  <c r="I30" i="27"/>
  <c r="L34" i="27"/>
  <c r="J33" i="27"/>
  <c r="H30" i="27"/>
  <c r="I34" i="27"/>
  <c r="I33" i="27"/>
  <c r="G30" i="27"/>
  <c r="F34" i="27"/>
  <c r="F33" i="27"/>
  <c r="N30" i="27"/>
  <c r="E34" i="27"/>
  <c r="N33" i="27"/>
  <c r="K30" i="27"/>
  <c r="F30" i="27"/>
  <c r="G34" i="27"/>
  <c r="H33" i="27"/>
  <c r="J30" i="27"/>
  <c r="G33" i="27"/>
  <c r="N34" i="27"/>
  <c r="H34" i="27"/>
  <c r="L33" i="27"/>
  <c r="J34" i="27"/>
  <c r="E30" i="27"/>
  <c r="M30" i="27"/>
  <c r="E33" i="27"/>
  <c r="M33" i="27"/>
  <c r="K34" i="27"/>
  <c r="F65" i="27"/>
  <c r="H65" i="27"/>
  <c r="E65" i="27"/>
  <c r="E61" i="27"/>
  <c r="J64" i="27"/>
  <c r="J61" i="27"/>
  <c r="F64" i="27"/>
  <c r="N65" i="27"/>
  <c r="I61" i="27"/>
  <c r="M61" i="27"/>
  <c r="G64" i="27"/>
  <c r="J65" i="27"/>
  <c r="N61" i="27"/>
  <c r="I64" i="27"/>
  <c r="L61" i="27"/>
  <c r="H64" i="27"/>
  <c r="G65" i="27"/>
  <c r="F61" i="27"/>
  <c r="L64" i="27"/>
  <c r="K65" i="27"/>
  <c r="G61" i="27"/>
  <c r="M64" i="27"/>
  <c r="L65" i="27"/>
  <c r="H61" i="27"/>
  <c r="E64" i="27"/>
  <c r="N64" i="27"/>
  <c r="M65" i="27"/>
  <c r="K61" i="27"/>
  <c r="K64" i="27"/>
  <c r="I65" i="27"/>
  <c r="L44" i="27"/>
  <c r="L48" i="27"/>
  <c r="J44" i="27"/>
  <c r="G48" i="27"/>
  <c r="F44" i="27"/>
  <c r="F48" i="27"/>
  <c r="E44" i="27"/>
  <c r="N47" i="27"/>
  <c r="H47" i="27"/>
  <c r="N44" i="27"/>
  <c r="M48" i="27"/>
  <c r="M44" i="27"/>
  <c r="M47" i="27"/>
  <c r="K44" i="27"/>
  <c r="E47" i="27"/>
  <c r="G47" i="27"/>
  <c r="F47" i="27"/>
  <c r="E48" i="27"/>
  <c r="N48" i="27"/>
  <c r="G44" i="27"/>
  <c r="I47" i="27"/>
  <c r="H48" i="27"/>
  <c r="H44" i="27"/>
  <c r="J47" i="27"/>
  <c r="J48" i="27"/>
  <c r="I44" i="27"/>
  <c r="L47" i="27"/>
  <c r="K48" i="27"/>
  <c r="K47" i="27"/>
  <c r="I48" i="27"/>
  <c r="J54" i="27"/>
  <c r="K58" i="27"/>
  <c r="L57" i="27"/>
  <c r="F54" i="27"/>
  <c r="M58" i="27"/>
  <c r="E57" i="27"/>
  <c r="M54" i="27"/>
  <c r="I58" i="27"/>
  <c r="L58" i="27"/>
  <c r="H54" i="27"/>
  <c r="E54" i="27"/>
  <c r="J58" i="27"/>
  <c r="G54" i="27"/>
  <c r="M57" i="27"/>
  <c r="N57" i="27"/>
  <c r="N54" i="27"/>
  <c r="K57" i="27"/>
  <c r="J57" i="27"/>
  <c r="F57" i="27"/>
  <c r="E58" i="27"/>
  <c r="N58" i="27"/>
  <c r="K54" i="27"/>
  <c r="G57" i="27"/>
  <c r="F58" i="27"/>
  <c r="L54" i="27"/>
  <c r="H57" i="27"/>
  <c r="H58" i="27"/>
  <c r="I54" i="27"/>
  <c r="I57" i="27"/>
  <c r="G58" i="27"/>
  <c r="I17" i="27"/>
  <c r="F21" i="27"/>
  <c r="N20" i="27"/>
  <c r="L17" i="27"/>
  <c r="G20" i="27"/>
  <c r="J17" i="27"/>
  <c r="M20" i="27"/>
  <c r="H20" i="27"/>
  <c r="L21" i="27"/>
  <c r="M21" i="27"/>
  <c r="E20" i="27"/>
  <c r="H17" i="27"/>
  <c r="G17" i="27"/>
  <c r="G21" i="27"/>
  <c r="F20" i="27"/>
  <c r="E21" i="27"/>
  <c r="N21" i="27"/>
  <c r="H21" i="27"/>
  <c r="N17" i="27"/>
  <c r="J20" i="27"/>
  <c r="M17" i="27"/>
  <c r="I20" i="27"/>
  <c r="E17" i="27"/>
  <c r="J21" i="27"/>
  <c r="F17" i="27"/>
  <c r="L20" i="27"/>
  <c r="K21" i="27"/>
  <c r="K17" i="27"/>
  <c r="K20" i="27"/>
  <c r="I21" i="27"/>
  <c r="F11" i="27"/>
  <c r="F14" i="27"/>
  <c r="F13" i="27"/>
  <c r="F16" i="27"/>
  <c r="F12" i="27"/>
  <c r="F15" i="27"/>
  <c r="H11" i="27"/>
  <c r="H15" i="27"/>
  <c r="H14" i="27"/>
  <c r="H12" i="27"/>
  <c r="H16" i="27"/>
  <c r="H13" i="27"/>
  <c r="N15" i="27"/>
  <c r="N11" i="27"/>
  <c r="N14" i="27"/>
  <c r="N12" i="27"/>
  <c r="N16" i="27"/>
  <c r="N13" i="27"/>
  <c r="G11" i="27"/>
  <c r="G13" i="27"/>
  <c r="G12" i="27"/>
  <c r="G14" i="27"/>
  <c r="G16" i="27"/>
  <c r="G15" i="27"/>
  <c r="E16" i="27"/>
  <c r="E11" i="27"/>
  <c r="E14" i="27"/>
  <c r="E12" i="27"/>
  <c r="E15" i="27"/>
  <c r="E13" i="27"/>
  <c r="M12" i="27"/>
  <c r="M11" i="27"/>
  <c r="M14" i="27"/>
  <c r="M16" i="27"/>
  <c r="M15" i="27"/>
  <c r="M13" i="27"/>
  <c r="J14" i="27"/>
  <c r="J11" i="27"/>
  <c r="J12" i="27"/>
  <c r="J15" i="27"/>
  <c r="J16" i="27"/>
  <c r="J13" i="27"/>
  <c r="K14" i="27"/>
  <c r="K12" i="27"/>
  <c r="K11" i="27"/>
  <c r="K13" i="27"/>
  <c r="K15" i="27"/>
  <c r="K16" i="27"/>
  <c r="L12" i="27"/>
  <c r="L11" i="27"/>
  <c r="L14" i="27"/>
  <c r="L15" i="27"/>
  <c r="L16" i="27"/>
  <c r="L13" i="27"/>
  <c r="I14" i="27"/>
  <c r="I11" i="27"/>
  <c r="I15" i="27"/>
  <c r="I12" i="27"/>
  <c r="I16" i="27"/>
  <c r="I13" i="27"/>
  <c r="M42" i="27"/>
  <c r="M41" i="27"/>
  <c r="M43" i="27"/>
  <c r="E42" i="27"/>
  <c r="E41" i="27"/>
  <c r="E43" i="27"/>
  <c r="L42" i="27"/>
  <c r="L41" i="27"/>
  <c r="L43" i="27"/>
  <c r="N43" i="27"/>
  <c r="N42" i="27"/>
  <c r="N41" i="27"/>
  <c r="G43" i="27"/>
  <c r="G41" i="27"/>
  <c r="G42" i="27"/>
  <c r="H41" i="27"/>
  <c r="H43" i="27"/>
  <c r="H42" i="27"/>
  <c r="F42" i="27"/>
  <c r="F41" i="27"/>
  <c r="F43" i="27"/>
  <c r="I43" i="27"/>
  <c r="I41" i="27"/>
  <c r="I42" i="27"/>
  <c r="J43" i="27"/>
  <c r="J42" i="27"/>
  <c r="J41" i="27"/>
  <c r="K42" i="27"/>
  <c r="K41" i="27"/>
  <c r="K43" i="27"/>
  <c r="L77" i="27"/>
  <c r="L79" i="27"/>
  <c r="L76" i="27"/>
  <c r="L78" i="27"/>
  <c r="G76" i="27"/>
  <c r="G79" i="27"/>
  <c r="G77" i="27"/>
  <c r="G78" i="27"/>
  <c r="H78" i="27"/>
  <c r="H76" i="27"/>
  <c r="H77" i="27"/>
  <c r="H79" i="27"/>
  <c r="M79" i="27"/>
  <c r="M76" i="27"/>
  <c r="M77" i="27"/>
  <c r="M78" i="27"/>
  <c r="I78" i="27"/>
  <c r="I76" i="27"/>
  <c r="I79" i="27"/>
  <c r="I77" i="27"/>
  <c r="N79" i="27"/>
  <c r="N78" i="27"/>
  <c r="N76" i="27"/>
  <c r="N77" i="27"/>
  <c r="E78" i="27"/>
  <c r="E77" i="27"/>
  <c r="E79" i="27"/>
  <c r="E76" i="27"/>
  <c r="F79" i="27"/>
  <c r="F77" i="27"/>
  <c r="F76" i="27"/>
  <c r="F78" i="27"/>
  <c r="K77" i="27"/>
  <c r="K78" i="27"/>
  <c r="K79" i="27"/>
  <c r="K76" i="27"/>
  <c r="J77" i="27"/>
  <c r="J76" i="27"/>
  <c r="J78" i="27"/>
  <c r="J79" i="27"/>
  <c r="L35" i="27"/>
  <c r="I35" i="27"/>
  <c r="H35" i="27"/>
  <c r="G35" i="27"/>
  <c r="N35" i="27"/>
  <c r="K35" i="27"/>
  <c r="F35" i="27"/>
  <c r="J35" i="27"/>
  <c r="E35" i="27"/>
  <c r="M35" i="27"/>
  <c r="E69" i="27"/>
  <c r="E67" i="27"/>
  <c r="E66" i="27"/>
  <c r="E68" i="27"/>
  <c r="E70" i="27"/>
  <c r="J67" i="27"/>
  <c r="J70" i="27"/>
  <c r="J68" i="27"/>
  <c r="J69" i="27"/>
  <c r="J66" i="27"/>
  <c r="I68" i="27"/>
  <c r="I70" i="27"/>
  <c r="I66" i="27"/>
  <c r="I67" i="27"/>
  <c r="I69" i="27"/>
  <c r="M69" i="27"/>
  <c r="M67" i="27"/>
  <c r="M66" i="27"/>
  <c r="M68" i="27"/>
  <c r="M70" i="27"/>
  <c r="N66" i="27"/>
  <c r="N69" i="27"/>
  <c r="N67" i="27"/>
  <c r="N68" i="27"/>
  <c r="N70" i="27"/>
  <c r="L66" i="27"/>
  <c r="L69" i="27"/>
  <c r="L67" i="27"/>
  <c r="L70" i="27"/>
  <c r="L68" i="27"/>
  <c r="F68" i="27"/>
  <c r="F66" i="27"/>
  <c r="F69" i="27"/>
  <c r="F70" i="27"/>
  <c r="F67" i="27"/>
  <c r="G68" i="27"/>
  <c r="G66" i="27"/>
  <c r="G69" i="27"/>
  <c r="G70" i="27"/>
  <c r="G67" i="27"/>
  <c r="H67" i="27"/>
  <c r="H68" i="27"/>
  <c r="H66" i="27"/>
  <c r="H69" i="27"/>
  <c r="H70" i="27"/>
  <c r="K66" i="27"/>
  <c r="K67" i="27"/>
  <c r="K70" i="27"/>
  <c r="K68" i="27"/>
  <c r="K69" i="27"/>
  <c r="L49" i="27"/>
  <c r="L51" i="27"/>
  <c r="L52" i="27"/>
  <c r="L50" i="27"/>
  <c r="L53" i="27"/>
  <c r="J50" i="27"/>
  <c r="J53" i="27"/>
  <c r="J49" i="27"/>
  <c r="J51" i="27"/>
  <c r="J52" i="27"/>
  <c r="F50" i="27"/>
  <c r="F51" i="27"/>
  <c r="F49" i="27"/>
  <c r="F52" i="27"/>
  <c r="F53" i="27"/>
  <c r="E50" i="27"/>
  <c r="E49" i="27"/>
  <c r="E51" i="27"/>
  <c r="E53" i="27"/>
  <c r="E52" i="27"/>
  <c r="N51" i="27"/>
  <c r="N49" i="27"/>
  <c r="N52" i="27"/>
  <c r="N53" i="27"/>
  <c r="N50" i="27"/>
  <c r="M52" i="27"/>
  <c r="M50" i="27"/>
  <c r="M49" i="27"/>
  <c r="M51" i="27"/>
  <c r="M53" i="27"/>
  <c r="K53" i="27"/>
  <c r="K50" i="27"/>
  <c r="K49" i="27"/>
  <c r="K51" i="27"/>
  <c r="K52" i="27"/>
  <c r="G50" i="27"/>
  <c r="G51" i="27"/>
  <c r="G53" i="27"/>
  <c r="G49" i="27"/>
  <c r="G52" i="27"/>
  <c r="H53" i="27"/>
  <c r="H51" i="27"/>
  <c r="H50" i="27"/>
  <c r="H49" i="27"/>
  <c r="H52" i="27"/>
  <c r="I49" i="27"/>
  <c r="I53" i="27"/>
  <c r="I51" i="27"/>
  <c r="I50" i="27"/>
  <c r="I52" i="27"/>
  <c r="J59" i="27"/>
  <c r="J60" i="27"/>
  <c r="F59" i="27"/>
  <c r="F60" i="27"/>
  <c r="M60" i="27"/>
  <c r="M59" i="27"/>
  <c r="H60" i="27"/>
  <c r="H59" i="27"/>
  <c r="E60" i="27"/>
  <c r="E59" i="27"/>
  <c r="G59" i="27"/>
  <c r="G60" i="27"/>
  <c r="N60" i="27"/>
  <c r="N59" i="27"/>
  <c r="K60" i="27"/>
  <c r="K59" i="27"/>
  <c r="L60" i="27"/>
  <c r="L59" i="27"/>
  <c r="I59" i="27"/>
  <c r="I60" i="27"/>
  <c r="I26" i="27"/>
  <c r="I24" i="27"/>
  <c r="I28" i="27"/>
  <c r="I23" i="27"/>
  <c r="I25" i="27"/>
  <c r="I27" i="27"/>
  <c r="I29" i="27"/>
  <c r="I22" i="27"/>
  <c r="L29" i="27"/>
  <c r="L24" i="27"/>
  <c r="L26" i="27"/>
  <c r="L23" i="27"/>
  <c r="L27" i="27"/>
  <c r="L28" i="27"/>
  <c r="L22" i="27"/>
  <c r="L25" i="27"/>
  <c r="J26" i="27"/>
  <c r="J23" i="27"/>
  <c r="J22" i="27"/>
  <c r="J27" i="27"/>
  <c r="J28" i="27"/>
  <c r="J29" i="27"/>
  <c r="J24" i="27"/>
  <c r="J25" i="27"/>
  <c r="H23" i="27"/>
  <c r="H24" i="27"/>
  <c r="H28" i="27"/>
  <c r="H26" i="27"/>
  <c r="H22" i="27"/>
  <c r="H25" i="27"/>
  <c r="H27" i="27"/>
  <c r="H29" i="27"/>
  <c r="G26" i="27"/>
  <c r="G28" i="27"/>
  <c r="G23" i="27"/>
  <c r="G29" i="27"/>
  <c r="G25" i="27"/>
  <c r="G22" i="27"/>
  <c r="G24" i="27"/>
  <c r="G27" i="27"/>
  <c r="N29" i="27"/>
  <c r="N22" i="27"/>
  <c r="N28" i="27"/>
  <c r="N27" i="27"/>
  <c r="N25" i="27"/>
  <c r="N24" i="27"/>
  <c r="N26" i="27"/>
  <c r="N23" i="27"/>
  <c r="M29" i="27"/>
  <c r="M23" i="27"/>
  <c r="M27" i="27"/>
  <c r="M22" i="27"/>
  <c r="M24" i="27"/>
  <c r="M26" i="27"/>
  <c r="M28" i="27"/>
  <c r="M25" i="27"/>
  <c r="E29" i="27"/>
  <c r="E27" i="27"/>
  <c r="E23" i="27"/>
  <c r="E22" i="27"/>
  <c r="E24" i="27"/>
  <c r="E26" i="27"/>
  <c r="E28" i="27"/>
  <c r="E25" i="27"/>
  <c r="F28" i="27"/>
  <c r="F23" i="27"/>
  <c r="F29" i="27"/>
  <c r="F22" i="27"/>
  <c r="F25" i="27"/>
  <c r="F26" i="27"/>
  <c r="F24" i="27"/>
  <c r="F27" i="27"/>
  <c r="K26" i="27"/>
  <c r="K23" i="27"/>
  <c r="K27" i="27"/>
  <c r="K24" i="27"/>
  <c r="K28" i="27"/>
  <c r="K29" i="27"/>
  <c r="K22" i="27"/>
  <c r="K25" i="27"/>
  <c r="H19" i="20" l="1"/>
  <c r="K56" i="20"/>
  <c r="M56" i="20"/>
  <c r="G73" i="20"/>
  <c r="J38" i="20"/>
  <c r="H46" i="20"/>
  <c r="K46" i="20"/>
  <c r="F56" i="20"/>
  <c r="I32" i="20"/>
  <c r="J56" i="20"/>
  <c r="L32" i="20"/>
  <c r="K38" i="20"/>
  <c r="L82" i="20"/>
  <c r="J63" i="20"/>
  <c r="G82" i="20"/>
  <c r="I56" i="20"/>
  <c r="H82" i="20"/>
  <c r="F32" i="20"/>
  <c r="F73" i="20"/>
  <c r="I82" i="20"/>
  <c r="L63" i="20"/>
  <c r="N82" i="20"/>
  <c r="I46" i="20"/>
  <c r="G46" i="20"/>
  <c r="M38" i="20"/>
  <c r="I19" i="20"/>
  <c r="H63" i="20"/>
  <c r="F63" i="20"/>
  <c r="M32" i="20"/>
  <c r="N19" i="20"/>
  <c r="J82" i="20"/>
  <c r="J32" i="20"/>
  <c r="M19" i="20"/>
  <c r="M82" i="20"/>
  <c r="M63" i="20"/>
  <c r="F19" i="20"/>
  <c r="L46" i="20"/>
  <c r="K19" i="20"/>
  <c r="H38" i="20"/>
  <c r="N46" i="20"/>
  <c r="N73" i="20"/>
  <c r="F38" i="20"/>
  <c r="H73" i="20"/>
  <c r="G56" i="20"/>
  <c r="I73" i="20"/>
  <c r="K63" i="20"/>
  <c r="N32" i="20"/>
  <c r="L73" i="20"/>
  <c r="J73" i="20"/>
  <c r="K32" i="20"/>
  <c r="K73" i="20"/>
  <c r="L19" i="20"/>
  <c r="G63" i="20"/>
  <c r="I63" i="20"/>
  <c r="F82" i="20"/>
  <c r="G32" i="20"/>
  <c r="N63" i="20"/>
  <c r="F46" i="20"/>
  <c r="J19" i="20"/>
  <c r="M46" i="20"/>
  <c r="H32" i="20"/>
  <c r="L38" i="20"/>
  <c r="J46" i="20"/>
  <c r="L56" i="20"/>
  <c r="N56" i="20"/>
  <c r="H56" i="20"/>
  <c r="N38" i="20"/>
  <c r="G19" i="20"/>
  <c r="G38" i="20"/>
  <c r="I38" i="20"/>
  <c r="M73" i="20"/>
  <c r="K82" i="20"/>
  <c r="E73" i="20"/>
  <c r="E46" i="20"/>
  <c r="E32" i="20"/>
  <c r="E19" i="20"/>
  <c r="E56" i="20"/>
  <c r="E82" i="20"/>
  <c r="E63" i="20"/>
  <c r="E38" i="20"/>
  <c r="J74" i="26"/>
  <c r="G74" i="26"/>
  <c r="K74" i="26"/>
  <c r="F74" i="26"/>
  <c r="N74" i="26"/>
  <c r="L74" i="26"/>
  <c r="H74" i="26"/>
  <c r="M74" i="26"/>
  <c r="I74" i="26"/>
  <c r="G20" i="7"/>
  <c r="E20" i="7"/>
  <c r="J21" i="7"/>
  <c r="I20" i="7"/>
  <c r="I21" i="7"/>
  <c r="F18" i="27"/>
  <c r="I18" i="27"/>
  <c r="M55" i="27"/>
  <c r="N45" i="27"/>
  <c r="F62" i="27"/>
  <c r="E31" i="27"/>
  <c r="L31" i="27"/>
  <c r="H72" i="27"/>
  <c r="G37" i="27"/>
  <c r="J7" i="27"/>
  <c r="L55" i="27"/>
  <c r="J55" i="27"/>
  <c r="N62" i="27"/>
  <c r="K72" i="27"/>
  <c r="L37" i="27"/>
  <c r="F37" i="27"/>
  <c r="L18" i="27"/>
  <c r="G62" i="27"/>
  <c r="H37" i="27"/>
  <c r="E18" i="27"/>
  <c r="I55" i="27"/>
  <c r="F55" i="27"/>
  <c r="E45" i="27"/>
  <c r="L62" i="27"/>
  <c r="J31" i="27"/>
  <c r="J72" i="27"/>
  <c r="G72" i="27"/>
  <c r="N37" i="27"/>
  <c r="M7" i="27"/>
  <c r="M18" i="27"/>
  <c r="F45" i="27"/>
  <c r="F31" i="27"/>
  <c r="L72" i="27"/>
  <c r="E7" i="27"/>
  <c r="E55" i="27"/>
  <c r="H31" i="27"/>
  <c r="L7" i="27"/>
  <c r="M45" i="27"/>
  <c r="M72" i="27"/>
  <c r="N18" i="27"/>
  <c r="K55" i="27"/>
  <c r="I45" i="27"/>
  <c r="J45" i="27"/>
  <c r="M62" i="27"/>
  <c r="K31" i="27"/>
  <c r="F72" i="27"/>
  <c r="K37" i="27"/>
  <c r="E37" i="27"/>
  <c r="G7" i="27"/>
  <c r="H18" i="27"/>
  <c r="G45" i="27"/>
  <c r="J62" i="27"/>
  <c r="N72" i="27"/>
  <c r="I7" i="27"/>
  <c r="K45" i="27"/>
  <c r="E62" i="27"/>
  <c r="F7" i="27"/>
  <c r="H55" i="27"/>
  <c r="I31" i="27"/>
  <c r="G18" i="27"/>
  <c r="N55" i="27"/>
  <c r="H45" i="27"/>
  <c r="L45" i="27"/>
  <c r="I62" i="27"/>
  <c r="N31" i="27"/>
  <c r="E72" i="27"/>
  <c r="J37" i="27"/>
  <c r="M37" i="27"/>
  <c r="N7" i="27"/>
  <c r="G55" i="27"/>
  <c r="K62" i="27"/>
  <c r="G31" i="27"/>
  <c r="I37" i="27"/>
  <c r="H7" i="27"/>
  <c r="J18" i="27"/>
  <c r="H62" i="27"/>
  <c r="I72" i="27"/>
  <c r="K18" i="27"/>
  <c r="M31" i="27"/>
  <c r="K7" i="27"/>
  <c r="M7" i="24"/>
  <c r="H66" i="24"/>
  <c r="H38" i="24"/>
  <c r="N42" i="24"/>
  <c r="M9" i="24"/>
  <c r="N51" i="24"/>
  <c r="E19" i="24"/>
  <c r="N57" i="24"/>
  <c r="E54" i="24"/>
  <c r="N69" i="24"/>
  <c r="G44" i="24"/>
  <c r="E38" i="24"/>
  <c r="L19" i="24"/>
  <c r="M10" i="24"/>
  <c r="J59" i="24"/>
  <c r="H57" i="24"/>
  <c r="E34" i="24"/>
  <c r="E41" i="24" s="1"/>
  <c r="I45" i="24"/>
  <c r="E69" i="24"/>
  <c r="I69" i="24"/>
  <c r="F45" i="24"/>
  <c r="E68" i="24"/>
  <c r="K53" i="24"/>
  <c r="N10" i="24"/>
  <c r="G60" i="24"/>
  <c r="L68" i="24"/>
  <c r="L44" i="24"/>
  <c r="I9" i="24"/>
  <c r="J29" i="24"/>
  <c r="N7" i="24"/>
  <c r="E20" i="24"/>
  <c r="F37" i="24"/>
  <c r="H17" i="24"/>
  <c r="I17" i="24"/>
  <c r="I60" i="24"/>
  <c r="G37" i="24"/>
  <c r="M44" i="24"/>
  <c r="M54" i="24"/>
  <c r="K54" i="24"/>
  <c r="F34" i="24"/>
  <c r="F41" i="24" s="1"/>
  <c r="K42" i="24"/>
  <c r="N37" i="24"/>
  <c r="H42" i="24"/>
  <c r="F29" i="24"/>
  <c r="H69" i="24"/>
  <c r="E44" i="24"/>
  <c r="H51" i="24"/>
  <c r="L34" i="24"/>
  <c r="L41" i="24" s="1"/>
  <c r="L10" i="24"/>
  <c r="M20" i="24"/>
  <c r="E29" i="24"/>
  <c r="G57" i="24"/>
  <c r="M29" i="24"/>
  <c r="N68" i="24"/>
  <c r="J57" i="24"/>
  <c r="K31" i="24"/>
  <c r="G38" i="24"/>
  <c r="J17" i="24"/>
  <c r="I38" i="24"/>
  <c r="F17" i="24"/>
  <c r="L42" i="24"/>
  <c r="K29" i="24"/>
  <c r="J20" i="24"/>
  <c r="M66" i="24"/>
  <c r="K60" i="24"/>
  <c r="L53" i="24"/>
  <c r="G29" i="24"/>
  <c r="G10" i="24"/>
  <c r="J42" i="24"/>
  <c r="J69" i="24"/>
  <c r="H29" i="24"/>
  <c r="K66" i="24"/>
  <c r="J38" i="24"/>
  <c r="F53" i="24"/>
  <c r="G31" i="24"/>
  <c r="E66" i="24"/>
  <c r="M34" i="24"/>
  <c r="M41" i="24" s="1"/>
  <c r="H32" i="24"/>
  <c r="M32" i="24"/>
  <c r="G69" i="24"/>
  <c r="I20" i="24"/>
  <c r="K51" i="24"/>
  <c r="K57" i="24"/>
  <c r="G45" i="24"/>
  <c r="M45" i="24"/>
  <c r="F19" i="24"/>
  <c r="F32" i="24"/>
  <c r="M38" i="24"/>
  <c r="F60" i="24"/>
  <c r="H44" i="24"/>
  <c r="I54" i="24"/>
  <c r="N17" i="24"/>
  <c r="I68" i="24"/>
  <c r="M60" i="24"/>
  <c r="H9" i="24"/>
  <c r="N60" i="24"/>
  <c r="G66" i="24"/>
  <c r="J45" i="24"/>
  <c r="F51" i="24"/>
  <c r="G19" i="24"/>
  <c r="L45" i="24"/>
  <c r="N66" i="24"/>
  <c r="F38" i="24"/>
  <c r="L57" i="24"/>
  <c r="I34" i="24"/>
  <c r="I41" i="24" s="1"/>
  <c r="L66" i="24"/>
  <c r="E57" i="24"/>
  <c r="N32" i="24"/>
  <c r="L7" i="24"/>
  <c r="H68" i="24"/>
  <c r="M37" i="24"/>
  <c r="K44" i="24"/>
  <c r="E60" i="24"/>
  <c r="E7" i="24"/>
  <c r="K20" i="24"/>
  <c r="J66" i="24"/>
  <c r="N34" i="24"/>
  <c r="N41" i="24" s="1"/>
  <c r="K10" i="24"/>
  <c r="L9" i="24"/>
  <c r="L17" i="24"/>
  <c r="I59" i="24"/>
  <c r="E53" i="24"/>
  <c r="H53" i="24"/>
  <c r="E9" i="24"/>
  <c r="L59" i="24"/>
  <c r="J10" i="24"/>
  <c r="I44" i="24"/>
  <c r="L20" i="24"/>
  <c r="I53" i="24"/>
  <c r="N20" i="24"/>
  <c r="H59" i="24"/>
  <c r="G53" i="24"/>
  <c r="H34" i="24"/>
  <c r="H41" i="24" s="1"/>
  <c r="I31" i="24"/>
  <c r="N38" i="24"/>
  <c r="I37" i="24"/>
  <c r="I66" i="24"/>
  <c r="F69" i="24"/>
  <c r="K45" i="24"/>
  <c r="E45" i="24"/>
  <c r="H60" i="24"/>
  <c r="M19" i="24"/>
  <c r="M17" i="24"/>
  <c r="H54" i="24"/>
  <c r="F59" i="24"/>
  <c r="E42" i="24"/>
  <c r="F10" i="24"/>
  <c r="N29" i="24"/>
  <c r="N44" i="24"/>
  <c r="M53" i="24"/>
  <c r="G68" i="24"/>
  <c r="E10" i="24"/>
  <c r="F57" i="24"/>
  <c r="E59" i="24"/>
  <c r="N31" i="24"/>
  <c r="J68" i="24"/>
  <c r="K69" i="24"/>
  <c r="L54" i="24"/>
  <c r="K19" i="24"/>
  <c r="J54" i="24"/>
  <c r="L38" i="24"/>
  <c r="H45" i="24"/>
  <c r="H20" i="24"/>
  <c r="L29" i="24"/>
  <c r="I51" i="24"/>
  <c r="N54" i="24"/>
  <c r="J19" i="24"/>
  <c r="M59" i="24"/>
  <c r="G17" i="24"/>
  <c r="N9" i="24"/>
  <c r="G20" i="24"/>
  <c r="K38" i="24"/>
  <c r="N59" i="24"/>
  <c r="H37" i="24"/>
  <c r="E31" i="24"/>
  <c r="H19" i="24"/>
  <c r="L51" i="24"/>
  <c r="H7" i="24"/>
  <c r="F54" i="24"/>
  <c r="F42" i="24"/>
  <c r="E17" i="24"/>
  <c r="M68" i="24"/>
  <c r="G32" i="24"/>
  <c r="H31" i="24"/>
  <c r="G34" i="24"/>
  <c r="G41" i="24" s="1"/>
  <c r="F9" i="24"/>
  <c r="L69" i="24"/>
  <c r="G51" i="24"/>
  <c r="N45" i="24"/>
  <c r="J34" i="24"/>
  <c r="J41" i="24" s="1"/>
  <c r="M57" i="24"/>
  <c r="K32" i="24"/>
  <c r="E51" i="24"/>
  <c r="F66" i="24"/>
  <c r="L60" i="24"/>
  <c r="I42" i="24"/>
  <c r="J32" i="24"/>
  <c r="F31" i="24"/>
  <c r="G7" i="24"/>
  <c r="N53" i="24"/>
  <c r="K9" i="24"/>
  <c r="G9" i="24"/>
  <c r="J44" i="24"/>
  <c r="K68" i="24"/>
  <c r="F7" i="24"/>
  <c r="E32" i="24"/>
  <c r="K59" i="24"/>
  <c r="K7" i="24"/>
  <c r="G59" i="24"/>
  <c r="M31" i="24"/>
  <c r="I10" i="24"/>
  <c r="H10" i="24"/>
  <c r="I19" i="24"/>
  <c r="G54" i="24"/>
  <c r="F44" i="24"/>
  <c r="I29" i="24"/>
  <c r="I32" i="24"/>
  <c r="J31" i="24"/>
  <c r="J60" i="24"/>
  <c r="E37" i="24"/>
  <c r="K17" i="24"/>
  <c r="L31" i="24"/>
  <c r="M51" i="24"/>
  <c r="L37" i="24"/>
  <c r="M42" i="24"/>
  <c r="J37" i="24"/>
  <c r="L32" i="24"/>
  <c r="J51" i="24"/>
  <c r="I57" i="24"/>
  <c r="K37" i="24"/>
  <c r="K34" i="24"/>
  <c r="K41" i="24" s="1"/>
  <c r="J53" i="24"/>
  <c r="F20" i="24"/>
  <c r="F68" i="24"/>
  <c r="M69" i="24"/>
  <c r="I7" i="24"/>
  <c r="G42" i="24"/>
  <c r="N19" i="24"/>
  <c r="J7" i="24"/>
  <c r="J9" i="24"/>
  <c r="M13" i="24"/>
  <c r="M15" i="24"/>
  <c r="M11" i="24"/>
  <c r="M12" i="24"/>
  <c r="M16" i="24"/>
  <c r="M14" i="24"/>
  <c r="H70" i="24"/>
  <c r="H73" i="24"/>
  <c r="H71" i="24"/>
  <c r="H72" i="24"/>
  <c r="N50" i="24"/>
  <c r="N46" i="24"/>
  <c r="N49" i="24"/>
  <c r="N47" i="24"/>
  <c r="N48" i="24"/>
  <c r="N56" i="24"/>
  <c r="N55" i="24"/>
  <c r="N64" i="24"/>
  <c r="N63" i="24"/>
  <c r="N61" i="24"/>
  <c r="N62" i="24"/>
  <c r="N65" i="24"/>
  <c r="H63" i="24"/>
  <c r="H62" i="24"/>
  <c r="H65" i="24"/>
  <c r="H61" i="24"/>
  <c r="H64" i="24"/>
  <c r="E39" i="24"/>
  <c r="E40" i="24"/>
  <c r="J33" i="24"/>
  <c r="N13" i="24"/>
  <c r="N12" i="24"/>
  <c r="N16" i="24"/>
  <c r="N15" i="24"/>
  <c r="N14" i="24"/>
  <c r="N11" i="24"/>
  <c r="H27" i="24"/>
  <c r="H23" i="24"/>
  <c r="H22" i="24"/>
  <c r="H26" i="24"/>
  <c r="H25" i="24"/>
  <c r="H28" i="24"/>
  <c r="H21" i="24"/>
  <c r="H24" i="24"/>
  <c r="I26" i="24"/>
  <c r="I22" i="24"/>
  <c r="I28" i="24"/>
  <c r="I24" i="24"/>
  <c r="I25" i="24"/>
  <c r="I23" i="24"/>
  <c r="I27" i="24"/>
  <c r="I21" i="24"/>
  <c r="F39" i="24"/>
  <c r="F40" i="24"/>
  <c r="K47" i="24"/>
  <c r="K49" i="24"/>
  <c r="K46" i="24"/>
  <c r="K48" i="24"/>
  <c r="K50" i="24"/>
  <c r="H49" i="24"/>
  <c r="H48" i="24"/>
  <c r="H46" i="24"/>
  <c r="H47" i="24"/>
  <c r="H50" i="24"/>
  <c r="F33" i="24"/>
  <c r="H56" i="24"/>
  <c r="H55" i="24"/>
  <c r="L40" i="24"/>
  <c r="L39" i="24"/>
  <c r="E33" i="24"/>
  <c r="G63" i="24"/>
  <c r="G65" i="24"/>
  <c r="G61" i="24"/>
  <c r="G62" i="24"/>
  <c r="G64" i="24"/>
  <c r="M33" i="24"/>
  <c r="J62" i="24"/>
  <c r="J65" i="24"/>
  <c r="J61" i="24"/>
  <c r="J63" i="24"/>
  <c r="J64" i="24"/>
  <c r="J26" i="24"/>
  <c r="J22" i="24"/>
  <c r="J25" i="24"/>
  <c r="J21" i="24"/>
  <c r="J28" i="24"/>
  <c r="J23" i="24"/>
  <c r="J24" i="24"/>
  <c r="J27" i="24"/>
  <c r="F28" i="24"/>
  <c r="F24" i="24"/>
  <c r="F27" i="24"/>
  <c r="F23" i="24"/>
  <c r="F21" i="24"/>
  <c r="F22" i="24"/>
  <c r="F25" i="24"/>
  <c r="F26" i="24"/>
  <c r="L47" i="24"/>
  <c r="L50" i="24"/>
  <c r="L46" i="24"/>
  <c r="L49" i="24"/>
  <c r="L48" i="24"/>
  <c r="K33" i="24"/>
  <c r="M71" i="24"/>
  <c r="M73" i="24"/>
  <c r="M72" i="24"/>
  <c r="M70" i="24"/>
  <c r="G33" i="24"/>
  <c r="J48" i="24"/>
  <c r="J47" i="24"/>
  <c r="J49" i="24"/>
  <c r="J46" i="24"/>
  <c r="J50" i="24"/>
  <c r="H33" i="24"/>
  <c r="K72" i="24"/>
  <c r="K70" i="24"/>
  <c r="K71" i="24"/>
  <c r="K73" i="24"/>
  <c r="E71" i="24"/>
  <c r="E73" i="24"/>
  <c r="E70" i="24"/>
  <c r="E72" i="24"/>
  <c r="M39" i="24"/>
  <c r="M40" i="24"/>
  <c r="K56" i="24"/>
  <c r="K55" i="24"/>
  <c r="K65" i="24"/>
  <c r="K61" i="24"/>
  <c r="K63" i="24"/>
  <c r="K64" i="24"/>
  <c r="K62" i="24"/>
  <c r="N28" i="24"/>
  <c r="N24" i="24"/>
  <c r="N27" i="24"/>
  <c r="N23" i="24"/>
  <c r="N21" i="24"/>
  <c r="N26" i="24"/>
  <c r="N25" i="24"/>
  <c r="N22" i="24"/>
  <c r="G70" i="24"/>
  <c r="G72" i="24"/>
  <c r="G73" i="24"/>
  <c r="G71" i="24"/>
  <c r="F56" i="24"/>
  <c r="F55" i="24"/>
  <c r="N71" i="24"/>
  <c r="N70" i="24"/>
  <c r="N72" i="24"/>
  <c r="N73" i="24"/>
  <c r="L65" i="24"/>
  <c r="L61" i="24"/>
  <c r="L64" i="24"/>
  <c r="L63" i="24"/>
  <c r="L62" i="24"/>
  <c r="I39" i="24"/>
  <c r="I40" i="24"/>
  <c r="L72" i="24"/>
  <c r="L71" i="24"/>
  <c r="L70" i="24"/>
  <c r="L73" i="24"/>
  <c r="E64" i="24"/>
  <c r="E62" i="24"/>
  <c r="E65" i="24"/>
  <c r="E63" i="24"/>
  <c r="E61" i="24"/>
  <c r="L14" i="24"/>
  <c r="L13" i="24"/>
  <c r="L12" i="24"/>
  <c r="L15" i="24"/>
  <c r="L11" i="24"/>
  <c r="L16" i="24"/>
  <c r="E13" i="24"/>
  <c r="E15" i="24"/>
  <c r="E11" i="24"/>
  <c r="E16" i="24"/>
  <c r="E14" i="24"/>
  <c r="E12" i="24"/>
  <c r="J73" i="24"/>
  <c r="J72" i="24"/>
  <c r="J71" i="24"/>
  <c r="J70" i="24"/>
  <c r="N39" i="24"/>
  <c r="N40" i="24"/>
  <c r="L25" i="24"/>
  <c r="L21" i="24"/>
  <c r="L24" i="24"/>
  <c r="L28" i="24"/>
  <c r="L26" i="24"/>
  <c r="L23" i="24"/>
  <c r="L22" i="24"/>
  <c r="L27" i="24"/>
  <c r="H40" i="24"/>
  <c r="H39" i="24"/>
  <c r="I73" i="24"/>
  <c r="I71" i="24"/>
  <c r="I72" i="24"/>
  <c r="I70" i="24"/>
  <c r="M28" i="24"/>
  <c r="M24" i="24"/>
  <c r="M26" i="24"/>
  <c r="M22" i="24"/>
  <c r="M23" i="24"/>
  <c r="M21" i="24"/>
  <c r="M25" i="24"/>
  <c r="M27" i="24"/>
  <c r="E50" i="24"/>
  <c r="E46" i="24"/>
  <c r="E48" i="24"/>
  <c r="E49" i="24"/>
  <c r="E47" i="24"/>
  <c r="N33" i="24"/>
  <c r="F64" i="24"/>
  <c r="F63" i="24"/>
  <c r="F65" i="24"/>
  <c r="F62" i="24"/>
  <c r="F61" i="24"/>
  <c r="L33" i="24"/>
  <c r="I55" i="24"/>
  <c r="I56" i="24"/>
  <c r="G27" i="24"/>
  <c r="G23" i="24"/>
  <c r="G25" i="24"/>
  <c r="G21" i="24"/>
  <c r="G22" i="24"/>
  <c r="G28" i="24"/>
  <c r="G24" i="24"/>
  <c r="G26" i="24"/>
  <c r="L55" i="24"/>
  <c r="L56" i="24"/>
  <c r="H16" i="24"/>
  <c r="H12" i="24"/>
  <c r="H15" i="24"/>
  <c r="H11" i="24"/>
  <c r="H13" i="24"/>
  <c r="H14" i="24"/>
  <c r="F50" i="24"/>
  <c r="F46" i="24"/>
  <c r="F49" i="24"/>
  <c r="F48" i="24"/>
  <c r="F47" i="24"/>
  <c r="E28" i="24"/>
  <c r="E24" i="24"/>
  <c r="E26" i="24"/>
  <c r="E22" i="24"/>
  <c r="E27" i="24"/>
  <c r="E23" i="24"/>
  <c r="E25" i="24"/>
  <c r="E21" i="24"/>
  <c r="G40" i="24"/>
  <c r="G39" i="24"/>
  <c r="G56" i="24"/>
  <c r="G55" i="24"/>
  <c r="J40" i="24"/>
  <c r="J39" i="24"/>
  <c r="M64" i="24"/>
  <c r="M62" i="24"/>
  <c r="M63" i="24"/>
  <c r="M61" i="24"/>
  <c r="M65" i="24"/>
  <c r="E55" i="24"/>
  <c r="E56" i="24"/>
  <c r="F71" i="24"/>
  <c r="F70" i="24"/>
  <c r="F73" i="24"/>
  <c r="F72" i="24"/>
  <c r="I48" i="24"/>
  <c r="I50" i="24"/>
  <c r="I46" i="24"/>
  <c r="I47" i="24"/>
  <c r="I49" i="24"/>
  <c r="G16" i="24"/>
  <c r="G12" i="24"/>
  <c r="G14" i="24"/>
  <c r="G11" i="24"/>
  <c r="G15" i="24"/>
  <c r="G13" i="24"/>
  <c r="F13" i="24"/>
  <c r="F12" i="24"/>
  <c r="F16" i="24"/>
  <c r="F14" i="24"/>
  <c r="F11" i="24"/>
  <c r="F15" i="24"/>
  <c r="K14" i="24"/>
  <c r="K16" i="24"/>
  <c r="K12" i="24"/>
  <c r="K11" i="24"/>
  <c r="K15" i="24"/>
  <c r="K13" i="24"/>
  <c r="I33" i="24"/>
  <c r="K25" i="24"/>
  <c r="K21" i="24"/>
  <c r="K27" i="24"/>
  <c r="K23" i="24"/>
  <c r="K28" i="24"/>
  <c r="K26" i="24"/>
  <c r="K24" i="24"/>
  <c r="K22" i="24"/>
  <c r="M55" i="24"/>
  <c r="M56" i="24"/>
  <c r="M50" i="24"/>
  <c r="M46" i="24"/>
  <c r="M48" i="24"/>
  <c r="M49" i="24"/>
  <c r="M47" i="24"/>
  <c r="J55" i="24"/>
  <c r="J56" i="24"/>
  <c r="I62" i="24"/>
  <c r="I64" i="24"/>
  <c r="I65" i="24"/>
  <c r="I63" i="24"/>
  <c r="I61" i="24"/>
  <c r="K40" i="24"/>
  <c r="K39" i="24"/>
  <c r="I15" i="24"/>
  <c r="I11" i="24"/>
  <c r="I13" i="24"/>
  <c r="I14" i="24"/>
  <c r="I16" i="24"/>
  <c r="I12" i="24"/>
  <c r="G49" i="24"/>
  <c r="G47" i="24"/>
  <c r="G48" i="24"/>
  <c r="G46" i="24"/>
  <c r="G50" i="24"/>
  <c r="J15" i="24"/>
  <c r="J11" i="24"/>
  <c r="J14" i="24"/>
  <c r="J12" i="24"/>
  <c r="J13" i="24"/>
  <c r="J16" i="24"/>
  <c r="K8" i="27" l="1"/>
  <c r="M32" i="27"/>
  <c r="K19" i="27"/>
  <c r="I73" i="27"/>
  <c r="H63" i="27"/>
  <c r="J19" i="27"/>
  <c r="H8" i="27"/>
  <c r="I38" i="27"/>
  <c r="G32" i="27"/>
  <c r="K63" i="27"/>
  <c r="G56" i="27"/>
  <c r="N8" i="27"/>
  <c r="M38" i="27"/>
  <c r="J38" i="27"/>
  <c r="E73" i="27"/>
  <c r="N32" i="27"/>
  <c r="I63" i="27"/>
  <c r="L46" i="27"/>
  <c r="H46" i="27"/>
  <c r="N56" i="27"/>
  <c r="G19" i="27"/>
  <c r="I32" i="27"/>
  <c r="H56" i="27"/>
  <c r="F8" i="27"/>
  <c r="E63" i="27"/>
  <c r="K46" i="27"/>
  <c r="I8" i="27"/>
  <c r="N73" i="27"/>
  <c r="J63" i="27"/>
  <c r="G46" i="27"/>
  <c r="H19" i="27"/>
  <c r="G8" i="27"/>
  <c r="E38" i="27"/>
  <c r="K38" i="27"/>
  <c r="F73" i="27"/>
  <c r="K32" i="27"/>
  <c r="M63" i="27"/>
  <c r="J46" i="27"/>
  <c r="I46" i="27"/>
  <c r="K56" i="27"/>
  <c r="N19" i="27"/>
  <c r="M73" i="27"/>
  <c r="M46" i="27"/>
  <c r="L8" i="27"/>
  <c r="H32" i="27"/>
  <c r="E56" i="27"/>
  <c r="E8" i="27"/>
  <c r="L73" i="27"/>
  <c r="F32" i="27"/>
  <c r="F46" i="27"/>
  <c r="M19" i="27"/>
  <c r="M8" i="27"/>
  <c r="N38" i="27"/>
  <c r="G73" i="27"/>
  <c r="J73" i="27"/>
  <c r="J32" i="27"/>
  <c r="L63" i="27"/>
  <c r="E46" i="27"/>
  <c r="F56" i="27"/>
  <c r="I56" i="27"/>
  <c r="E19" i="27"/>
  <c r="H38" i="27"/>
  <c r="G63" i="27"/>
  <c r="L19" i="27"/>
  <c r="F38" i="27"/>
  <c r="L38" i="27"/>
  <c r="K73" i="27"/>
  <c r="N63" i="27"/>
  <c r="J56" i="27"/>
  <c r="L56" i="27"/>
  <c r="J8" i="27"/>
  <c r="G38" i="27"/>
  <c r="H73" i="27"/>
  <c r="L32" i="27"/>
  <c r="E32" i="27"/>
  <c r="F63" i="27"/>
  <c r="N46" i="27"/>
  <c r="M56" i="27"/>
  <c r="I19" i="27"/>
  <c r="F19" i="27"/>
  <c r="E74" i="26"/>
  <c r="N36" i="24"/>
  <c r="J36" i="24"/>
  <c r="H36" i="24"/>
  <c r="K36" i="24"/>
  <c r="G36" i="24"/>
  <c r="L36" i="24"/>
  <c r="M36" i="24"/>
  <c r="F36" i="24"/>
  <c r="I36" i="24"/>
  <c r="K35" i="24"/>
  <c r="L67" i="24"/>
  <c r="I30" i="24"/>
  <c r="H43" i="24"/>
  <c r="J43" i="24"/>
  <c r="M43" i="24"/>
  <c r="G67" i="24"/>
  <c r="I43" i="24"/>
  <c r="H18" i="24"/>
  <c r="J52" i="24"/>
  <c r="J58" i="24"/>
  <c r="G43" i="24"/>
  <c r="M58" i="24"/>
  <c r="F43" i="24"/>
  <c r="M18" i="24"/>
  <c r="H35" i="24"/>
  <c r="I35" i="24"/>
  <c r="K58" i="24"/>
  <c r="H67" i="24"/>
  <c r="G52" i="24"/>
  <c r="H58" i="24"/>
  <c r="E18" i="24"/>
  <c r="M67" i="24"/>
  <c r="H30" i="24"/>
  <c r="K67" i="24"/>
  <c r="F58" i="24"/>
  <c r="H8" i="24"/>
  <c r="F52" i="24"/>
  <c r="M30" i="24"/>
  <c r="N30" i="24"/>
  <c r="N18" i="24"/>
  <c r="E35" i="24"/>
  <c r="E67" i="24"/>
  <c r="L35" i="24"/>
  <c r="M8" i="24"/>
  <c r="E30" i="24"/>
  <c r="J18" i="24"/>
  <c r="N35" i="24"/>
  <c r="F67" i="24"/>
  <c r="G30" i="24"/>
  <c r="K43" i="24"/>
  <c r="E52" i="24"/>
  <c r="I8" i="24"/>
  <c r="F8" i="24"/>
  <c r="F18" i="24"/>
  <c r="K18" i="24"/>
  <c r="L30" i="24"/>
  <c r="F35" i="24"/>
  <c r="F30" i="24"/>
  <c r="G58" i="24"/>
  <c r="G35" i="24"/>
  <c r="J8" i="24"/>
  <c r="L8" i="24"/>
  <c r="E58" i="24"/>
  <c r="I52" i="24"/>
  <c r="L18" i="24"/>
  <c r="I67" i="24"/>
  <c r="K8" i="24"/>
  <c r="I18" i="24"/>
  <c r="K52" i="24"/>
  <c r="J67" i="24"/>
  <c r="L58" i="24"/>
  <c r="G18" i="24"/>
  <c r="H52" i="24"/>
  <c r="G8" i="24"/>
  <c r="M35" i="24"/>
  <c r="J30" i="24"/>
  <c r="E8" i="24"/>
  <c r="N43" i="24"/>
  <c r="N8" i="24"/>
  <c r="M52" i="24"/>
  <c r="N67" i="24"/>
  <c r="K30" i="24"/>
  <c r="E43" i="24"/>
  <c r="J35" i="24"/>
  <c r="L43" i="24"/>
  <c r="N52" i="24"/>
  <c r="I58" i="24"/>
  <c r="L52" i="24"/>
  <c r="N58" i="24"/>
  <c r="E36" i="24" l="1"/>
</calcChain>
</file>

<file path=xl/sharedStrings.xml><?xml version="1.0" encoding="utf-8"?>
<sst xmlns="http://schemas.openxmlformats.org/spreadsheetml/2006/main" count="1690" uniqueCount="239">
  <si>
    <t>Erikoormus jäitest</t>
  </si>
  <si>
    <t>Jäite paksus</t>
  </si>
  <si>
    <t>Omakaalu erikoormus</t>
  </si>
  <si>
    <t>Kliima</t>
  </si>
  <si>
    <t>Tuulerõhk</t>
  </si>
  <si>
    <t>Erikoormus tuulest</t>
  </si>
  <si>
    <t>Reziimid</t>
  </si>
  <si>
    <t>N°-N°</t>
  </si>
  <si>
    <t>m</t>
  </si>
  <si>
    <t>Raskeim režiim</t>
  </si>
  <si>
    <t>Režiimi number</t>
  </si>
  <si>
    <t>Mastide vahemik</t>
  </si>
  <si>
    <t>JUHE</t>
  </si>
  <si>
    <t>JUHTMEARVUTUS</t>
  </si>
  <si>
    <t>Kõrgus</t>
  </si>
  <si>
    <t>z0</t>
  </si>
  <si>
    <t>Tuulekiirus</t>
  </si>
  <si>
    <t>Omakaal</t>
  </si>
  <si>
    <t>Jäide</t>
  </si>
  <si>
    <t>Tuul</t>
  </si>
  <si>
    <t>Temperatuur</t>
  </si>
  <si>
    <t>Erikoormus</t>
  </si>
  <si>
    <t>Pingsus</t>
  </si>
  <si>
    <t>Tuule piirkiirus</t>
  </si>
  <si>
    <t>Miinimumtemperatuur</t>
  </si>
  <si>
    <t>Mõõdukas tuul</t>
  </si>
  <si>
    <t>Piirjäitekoormus</t>
  </si>
  <si>
    <t>EDS</t>
  </si>
  <si>
    <t>T +15</t>
  </si>
  <si>
    <t>Piirjäitekoormus + vähend tuul</t>
  </si>
  <si>
    <t>Suur tuul + mõõdukas jäide</t>
  </si>
  <si>
    <t xml:space="preserve"> f, m</t>
  </si>
  <si>
    <t>T, [daN]</t>
  </si>
  <si>
    <t>POS N°</t>
  </si>
  <si>
    <t>AASTA KESKMINE PINGSUS</t>
  </si>
  <si>
    <t>Juhtme EDS</t>
  </si>
  <si>
    <r>
      <t>N/mm</t>
    </r>
    <r>
      <rPr>
        <vertAlign val="superscript"/>
        <sz val="8"/>
        <rFont val="Arial"/>
        <family val="2"/>
      </rPr>
      <t>2</t>
    </r>
  </si>
  <si>
    <r>
      <t>ÜHE JUHTME MONTEERIMISJÕUD T  (daN=kgf),
KOLME JUHTME MONTEERIMISJÕUD T  (daN=kgf),
RIPE f  ENNE JA RIPE f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PEALE VENIMIST MEETRITES (m)
ÕHUTEMPERATUURIL  t (°C)</t>
    </r>
  </si>
  <si>
    <t>Trossi ripe t=15</t>
  </si>
  <si>
    <t>Pingus t=15</t>
  </si>
  <si>
    <t>Koormusjuhtum</t>
  </si>
  <si>
    <t>Venimisvaru °C</t>
  </si>
  <si>
    <t>Suurim ripe</t>
  </si>
  <si>
    <t>Ripe</t>
  </si>
  <si>
    <t xml:space="preserve">Trossi 1 soov. ripe t=15 </t>
  </si>
  <si>
    <t xml:space="preserve">Trossi 2 soov. ripe t=15 </t>
  </si>
  <si>
    <t>Juhme ripe +15</t>
  </si>
  <si>
    <t>Juhtme mark</t>
  </si>
  <si>
    <t>402-AL1/52-ST1A</t>
  </si>
  <si>
    <t>Parabooli number</t>
  </si>
  <si>
    <t>Mark</t>
  </si>
  <si>
    <t>Larv</t>
  </si>
  <si>
    <t>G0</t>
  </si>
  <si>
    <t>S0</t>
  </si>
  <si>
    <t>Juhe</t>
  </si>
  <si>
    <t>S1</t>
  </si>
  <si>
    <t>G1</t>
  </si>
  <si>
    <t>T0</t>
  </si>
  <si>
    <t>T1</t>
  </si>
  <si>
    <t>ACSR402/52 Condor FI</t>
  </si>
  <si>
    <t>Peale venimist EDS</t>
  </si>
  <si>
    <t>Peale venimist Tmax</t>
  </si>
  <si>
    <t>EDS peale roomet</t>
  </si>
  <si>
    <t>Trossi mark</t>
  </si>
  <si>
    <t>Ristlõige [mm2]</t>
  </si>
  <si>
    <t>Diam[mm]</t>
  </si>
  <si>
    <t>Elastsusmoodul [MPa]</t>
  </si>
  <si>
    <t>Temperatuuri tegur</t>
  </si>
  <si>
    <t>Erikoormus omakaalust [N/mm2]</t>
  </si>
  <si>
    <t>Montaazi elastsusmoodul [MPa]</t>
  </si>
  <si>
    <t>RTS kN</t>
  </si>
  <si>
    <t>Maksimaalne pingsus  [N/mm2]</t>
  </si>
  <si>
    <t>454,5</t>
  </si>
  <si>
    <t>27,7</t>
  </si>
  <si>
    <t>1,94E-05</t>
  </si>
  <si>
    <t>0,0331</t>
  </si>
  <si>
    <t>Visang</t>
  </si>
  <si>
    <t>Lähtereziim</t>
  </si>
  <si>
    <t>Tross 1</t>
  </si>
  <si>
    <t>Tross 2</t>
  </si>
  <si>
    <t>Trossi EDS</t>
  </si>
  <si>
    <t>Osajuhtmete arv</t>
  </si>
  <si>
    <t xml:space="preserve">  </t>
  </si>
  <si>
    <t>Maks pingus</t>
  </si>
  <si>
    <t>OPGW ripete tabel</t>
  </si>
  <si>
    <t>Oden 117-AL1/68-ST1A</t>
  </si>
  <si>
    <t>242-Al1/39-ST1A Hawk</t>
  </si>
  <si>
    <t>280,84</t>
  </si>
  <si>
    <t>21,77</t>
  </si>
  <si>
    <t>1,9e-05</t>
  </si>
  <si>
    <t>0,0339</t>
  </si>
  <si>
    <t>87,98</t>
  </si>
  <si>
    <t>Mark 110</t>
  </si>
  <si>
    <t>Mark 330</t>
  </si>
  <si>
    <t>9,9-S1A - 19</t>
  </si>
  <si>
    <t>OPGW-2S 2/48B1 (0/93-55.3)</t>
  </si>
  <si>
    <t>13,20</t>
  </si>
  <si>
    <t>1,36E-6</t>
  </si>
  <si>
    <t>0,0625</t>
  </si>
  <si>
    <t>376,8</t>
  </si>
  <si>
    <t>87,9</t>
  </si>
  <si>
    <t>330 kV faasijuhtmete ripete tabel</t>
  </si>
  <si>
    <t>110 kV faasijuhtmete ripete tabel</t>
  </si>
  <si>
    <t>Taandatud visang</t>
  </si>
  <si>
    <t>Pingus [N/mm²]</t>
  </si>
  <si>
    <t>Ripe [m]</t>
  </si>
  <si>
    <t>110 kV faasijuhtmete koormuste tabel</t>
  </si>
  <si>
    <t>330 kV faasijuhtmete koormuste tabel</t>
  </si>
  <si>
    <t>Piksekaitsetrosside koormuste tabel</t>
  </si>
  <si>
    <t>T+35</t>
  </si>
  <si>
    <t>T+60</t>
  </si>
  <si>
    <t>330/110kV Tartu-Sindi õhuliini ehitus
II ehitusetapp, Puhja - Viljandi</t>
  </si>
  <si>
    <t>164Y - L507 165</t>
  </si>
  <si>
    <t>164Y - L105B 165</t>
  </si>
  <si>
    <t>L105B 165 - 166Y</t>
  </si>
  <si>
    <t>103Y- 109Y</t>
  </si>
  <si>
    <t>109Y- 117Y</t>
  </si>
  <si>
    <t>117Y- 118Y</t>
  </si>
  <si>
    <t>118Y- 121Y</t>
  </si>
  <si>
    <t>121Y- 126Y</t>
  </si>
  <si>
    <t>126Y- 128Y</t>
  </si>
  <si>
    <t>128Y- 133Y</t>
  </si>
  <si>
    <t>144Y- 148Y</t>
  </si>
  <si>
    <t>148Y- 151Y</t>
  </si>
  <si>
    <t>154Y- 156Y</t>
  </si>
  <si>
    <t>156Y- 164Y</t>
  </si>
  <si>
    <t>Masti nr</t>
  </si>
  <si>
    <t>Temp</t>
  </si>
  <si>
    <t>Taandatud Visang</t>
  </si>
  <si>
    <t>VISANGU PIKKUS</t>
  </si>
  <si>
    <t>S, [N/mm²]</t>
  </si>
  <si>
    <t>171</t>
  </si>
  <si>
    <t>103Y-104Y</t>
  </si>
  <si>
    <t>104Y-105Y</t>
  </si>
  <si>
    <t>105Y-106Y</t>
  </si>
  <si>
    <t>106Y-107Y</t>
  </si>
  <si>
    <t>107Y-108Y</t>
  </si>
  <si>
    <t>108Y-109Y</t>
  </si>
  <si>
    <t>109Y-110Y</t>
  </si>
  <si>
    <t>110Y-111Y</t>
  </si>
  <si>
    <t>111Y-112Y</t>
  </si>
  <si>
    <t>112Y-113Y</t>
  </si>
  <si>
    <t>113Y-114Y</t>
  </si>
  <si>
    <t>114Y-115Y</t>
  </si>
  <si>
    <t>115Y-116Y</t>
  </si>
  <si>
    <t>116Y-117Y</t>
  </si>
  <si>
    <t>117Y-118Y</t>
  </si>
  <si>
    <t>118Y-119Y</t>
  </si>
  <si>
    <t>119Y-120Y</t>
  </si>
  <si>
    <t>120Y-121Y</t>
  </si>
  <si>
    <t>121Y-122Y</t>
  </si>
  <si>
    <t>122Y-123Y</t>
  </si>
  <si>
    <t>123Y-124Y</t>
  </si>
  <si>
    <t>124Y-125Y</t>
  </si>
  <si>
    <t>125Y-126Y</t>
  </si>
  <si>
    <t>126Y-127Y</t>
  </si>
  <si>
    <t>127Y-128Y</t>
  </si>
  <si>
    <t>128Y-129Y</t>
  </si>
  <si>
    <t>129Y-130Y</t>
  </si>
  <si>
    <t>130Y-131Y</t>
  </si>
  <si>
    <t>131Y-132Y</t>
  </si>
  <si>
    <t>132Y-133Y</t>
  </si>
  <si>
    <t>133Y-134Y</t>
  </si>
  <si>
    <t>134Y-135Y</t>
  </si>
  <si>
    <t>135Y-136Y</t>
  </si>
  <si>
    <t>136Y-137Y</t>
  </si>
  <si>
    <t>137Y-138Y</t>
  </si>
  <si>
    <t>138Y-139Y</t>
  </si>
  <si>
    <t>139Y-140Y</t>
  </si>
  <si>
    <t>140Y-141Y</t>
  </si>
  <si>
    <t>141Y-142Y</t>
  </si>
  <si>
    <t>142Y-143Y</t>
  </si>
  <si>
    <t>143Y-144Y</t>
  </si>
  <si>
    <t>144Y-145Y</t>
  </si>
  <si>
    <t>145Y-146Y</t>
  </si>
  <si>
    <t>146Y-147Y</t>
  </si>
  <si>
    <t>147Y-148Y</t>
  </si>
  <si>
    <t>148Y-149Y</t>
  </si>
  <si>
    <t>149Y-150Y</t>
  </si>
  <si>
    <t>150Y-151Y</t>
  </si>
  <si>
    <t>151Y-152Y</t>
  </si>
  <si>
    <t>152Y-153Y</t>
  </si>
  <si>
    <t>153Y-154Y</t>
  </si>
  <si>
    <t>154Y-155Y</t>
  </si>
  <si>
    <t>155Y-156Y</t>
  </si>
  <si>
    <t>156Y-157Y</t>
  </si>
  <si>
    <t>157Y-158Y</t>
  </si>
  <si>
    <t>158Y-159Y</t>
  </si>
  <si>
    <t>159Y-160Y</t>
  </si>
  <si>
    <t>160Y-161Y</t>
  </si>
  <si>
    <t>161Y-162Y</t>
  </si>
  <si>
    <t>162Y-163Y</t>
  </si>
  <si>
    <t>163Y-164Y</t>
  </si>
  <si>
    <t>164Y-L507 165</t>
  </si>
  <si>
    <t>164Y-L105B 165</t>
  </si>
  <si>
    <t xml:space="preserve"> fl, m </t>
  </si>
  <si>
    <t>Piksekaitsetrossi ripete tabel</t>
  </si>
  <si>
    <t>D</t>
  </si>
  <si>
    <t>Trossi rež (2)</t>
  </si>
  <si>
    <t>Veerg</t>
  </si>
  <si>
    <t>Reziimide tööleht: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</si>
  <si>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</si>
  <si>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</si>
  <si>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</si>
  <si>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</si>
  <si>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</si>
  <si>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</si>
  <si>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</si>
  <si>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</si>
  <si>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</si>
  <si>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</si>
  <si>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</si>
  <si>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</si>
  <si>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</si>
  <si>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</si>
  <si>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</si>
  <si>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</si>
  <si>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AS-150/24</t>
  </si>
  <si>
    <t>173,2</t>
  </si>
  <si>
    <t>17,1</t>
  </si>
  <si>
    <t>1,92E-05</t>
  </si>
  <si>
    <t>0,0346</t>
  </si>
  <si>
    <t>Arvutuslik erikoormus [N/mm²*m]</t>
  </si>
  <si>
    <t>Normerikoormused</t>
  </si>
  <si>
    <t>NormNormerikoormused</t>
  </si>
  <si>
    <t>151Y- 154Y</t>
  </si>
  <si>
    <t>133Y- 137Y</t>
  </si>
  <si>
    <t>137Y- 144Y</t>
  </si>
  <si>
    <t>KPL1010-K2.1-T7.4 TJ</t>
  </si>
  <si>
    <t>KPL1010-K2.1-T7.6 TJ</t>
  </si>
  <si>
    <t>KPL1010-K2.1-T7.5 TJ</t>
  </si>
  <si>
    <t>KPL1010-K1.1-T7.1 TJ</t>
  </si>
  <si>
    <t>KPL1010-K1.1-T7.2 TJ</t>
  </si>
  <si>
    <t>KPL1010-K1.1-T7.3 TJ</t>
  </si>
  <si>
    <t>Juhtme rež 110</t>
  </si>
  <si>
    <t>Veerg/ rida</t>
  </si>
  <si>
    <t>Juhtme rež 330</t>
  </si>
  <si>
    <t>Trossi rež</t>
  </si>
  <si>
    <t>KPL1010-K1.1-T8.3 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</si>
</sst>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10"/>
      <name val="Arial"/>
      <charset val="186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charset val="186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  <charset val="186"/>
    </font>
    <font>
      <b/>
      <sz val="11"/>
      <name val="Arial"/>
      <family val="2"/>
    </font>
    <font>
      <vertAlign val="subscript"/>
      <sz val="8"/>
      <name val="Arial"/>
      <family val="2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</font>
    <font>
      <sz val="11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sz val="9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4" borderId="30" applyNumberFormat="0" applyAlignment="0" applyProtection="0"/>
  </cellStyleXfs>
  <cellXfs count="22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2" fillId="0" borderId="0" xfId="0" applyFont="1"/>
    <xf numFmtId="164" fontId="1" fillId="0" borderId="0" xfId="0" applyNumberFormat="1" applyFont="1"/>
    <xf numFmtId="164" fontId="0" fillId="2" borderId="0" xfId="0" applyNumberFormat="1" applyFill="1"/>
    <xf numFmtId="0" fontId="3" fillId="0" borderId="2" xfId="0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2" fontId="0" fillId="0" borderId="0" xfId="0" applyNumberFormat="1" applyFill="1"/>
    <xf numFmtId="0" fontId="2" fillId="0" borderId="0" xfId="0" applyFont="1" applyFill="1"/>
    <xf numFmtId="164" fontId="0" fillId="0" borderId="0" xfId="0" applyNumberFormat="1" applyFill="1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NumberFormat="1" applyAlignment="1">
      <alignment horizontal="center"/>
    </xf>
    <xf numFmtId="2" fontId="0" fillId="2" borderId="0" xfId="0" applyNumberFormat="1" applyFill="1"/>
    <xf numFmtId="0" fontId="0" fillId="0" borderId="6" xfId="0" applyBorder="1" applyAlignment="1">
      <alignment horizontal="right"/>
    </xf>
    <xf numFmtId="2" fontId="0" fillId="0" borderId="6" xfId="0" applyNumberFormat="1" applyBorder="1" applyAlignment="1">
      <alignment horizontal="right"/>
    </xf>
    <xf numFmtId="0" fontId="1" fillId="0" borderId="7" xfId="0" applyFont="1" applyBorder="1"/>
    <xf numFmtId="0" fontId="0" fillId="0" borderId="7" xfId="0" applyBorder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/>
    <xf numFmtId="0" fontId="3" fillId="0" borderId="8" xfId="0" applyFont="1" applyBorder="1" applyAlignment="1" applyProtection="1">
      <alignment horizontal="center" wrapText="1"/>
      <protection hidden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1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wrapText="1"/>
    </xf>
    <xf numFmtId="0" fontId="8" fillId="0" borderId="0" xfId="0" applyNumberFormat="1" applyFont="1" applyAlignment="1"/>
    <xf numFmtId="2" fontId="2" fillId="0" borderId="0" xfId="0" applyNumberFormat="1" applyFont="1" applyAlignment="1">
      <alignment horizontal="center"/>
    </xf>
    <xf numFmtId="1" fontId="0" fillId="0" borderId="0" xfId="0" applyNumberFormat="1"/>
    <xf numFmtId="1" fontId="0" fillId="3" borderId="0" xfId="0" applyNumberFormat="1" applyFill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1" fontId="2" fillId="0" borderId="6" xfId="0" applyNumberFormat="1" applyFont="1" applyBorder="1" applyAlignment="1">
      <alignment horizontal="right"/>
    </xf>
    <xf numFmtId="1" fontId="0" fillId="0" borderId="6" xfId="0" applyNumberFormat="1" applyBorder="1" applyAlignment="1">
      <alignment horizontal="right"/>
    </xf>
    <xf numFmtId="2" fontId="0" fillId="0" borderId="0" xfId="0" applyNumberFormat="1" applyAlignment="1"/>
    <xf numFmtId="0" fontId="8" fillId="0" borderId="0" xfId="0" applyFont="1"/>
    <xf numFmtId="0" fontId="0" fillId="0" borderId="0" xfId="0" applyAlignment="1">
      <alignment horizontal="right" wrapText="1"/>
    </xf>
    <xf numFmtId="0" fontId="8" fillId="0" borderId="0" xfId="0" applyFont="1" applyAlignment="1">
      <alignment wrapText="1"/>
    </xf>
    <xf numFmtId="2" fontId="2" fillId="0" borderId="0" xfId="0" applyNumberFormat="1" applyFont="1" applyAlignment="1">
      <alignment horizontal="center" wrapText="1"/>
    </xf>
    <xf numFmtId="11" fontId="0" fillId="0" borderId="0" xfId="0" applyNumberFormat="1"/>
    <xf numFmtId="0" fontId="4" fillId="0" borderId="1" xfId="0" applyFont="1" applyBorder="1" applyAlignment="1" applyProtection="1">
      <alignment horizontal="center" wrapText="1"/>
      <protection hidden="1"/>
    </xf>
    <xf numFmtId="0" fontId="3" fillId="0" borderId="8" xfId="0" applyFont="1" applyBorder="1" applyProtection="1"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11" xfId="0" applyFont="1" applyBorder="1" applyAlignment="1" applyProtection="1">
      <alignment horizontal="center"/>
      <protection hidden="1"/>
    </xf>
    <xf numFmtId="164" fontId="8" fillId="0" borderId="0" xfId="0" applyNumberFormat="1" applyFont="1"/>
    <xf numFmtId="0" fontId="8" fillId="0" borderId="0" xfId="0" applyFont="1" applyAlignment="1">
      <alignment horizontal="right" wrapText="1"/>
    </xf>
    <xf numFmtId="1" fontId="8" fillId="0" borderId="0" xfId="0" applyNumberFormat="1" applyFont="1"/>
    <xf numFmtId="0" fontId="8" fillId="0" borderId="0" xfId="0" applyFont="1" applyAlignment="1">
      <alignment horizontal="right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/>
    <xf numFmtId="0" fontId="2" fillId="0" borderId="0" xfId="0" applyNumberFormat="1" applyFont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49" fontId="8" fillId="0" borderId="0" xfId="0" quotePrefix="1" applyNumberFormat="1" applyFont="1" applyAlignment="1">
      <alignment horizontal="left"/>
    </xf>
    <xf numFmtId="49" fontId="0" fillId="0" borderId="0" xfId="0" applyNumberFormat="1" applyAlignment="1">
      <alignment wrapText="1"/>
    </xf>
    <xf numFmtId="49" fontId="8" fillId="0" borderId="0" xfId="0" applyNumberFormat="1" applyFont="1" applyAlignment="1">
      <alignment wrapText="1"/>
    </xf>
    <xf numFmtId="49" fontId="8" fillId="0" borderId="0" xfId="0" applyNumberFormat="1" applyFont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8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9" xfId="0" applyFont="1" applyBorder="1" applyAlignment="1" applyProtection="1">
      <alignment horizontal="center" wrapText="1"/>
      <protection hidden="1"/>
    </xf>
    <xf numFmtId="0" fontId="12" fillId="0" borderId="0" xfId="0" applyFont="1" applyAlignment="1">
      <alignment horizontal="center" wrapText="1"/>
    </xf>
    <xf numFmtId="2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 wrapText="1"/>
    </xf>
    <xf numFmtId="1" fontId="8" fillId="0" borderId="0" xfId="0" applyNumberFormat="1" applyFont="1" applyAlignment="1"/>
    <xf numFmtId="1" fontId="2" fillId="0" borderId="0" xfId="0" applyNumberFormat="1" applyFont="1" applyAlignment="1">
      <alignment horizontal="center"/>
    </xf>
    <xf numFmtId="0" fontId="8" fillId="0" borderId="0" xfId="0" applyFont="1" applyBorder="1"/>
    <xf numFmtId="0" fontId="8" fillId="0" borderId="0" xfId="0" applyFont="1" applyFill="1" applyBorder="1" applyAlignment="1">
      <alignment horizontal="right" wrapText="1"/>
    </xf>
    <xf numFmtId="0" fontId="16" fillId="0" borderId="0" xfId="0" applyFont="1" applyBorder="1"/>
    <xf numFmtId="0" fontId="16" fillId="0" borderId="0" xfId="0" applyFont="1" applyFill="1" applyBorder="1" applyAlignment="1">
      <alignment horizontal="right" wrapText="1"/>
    </xf>
    <xf numFmtId="0" fontId="16" fillId="0" borderId="0" xfId="0" applyNumberFormat="1" applyFont="1" applyBorder="1" applyAlignment="1" applyProtection="1">
      <alignment horizontal="right"/>
      <protection locked="0"/>
    </xf>
    <xf numFmtId="0" fontId="16" fillId="0" borderId="0" xfId="0" applyNumberFormat="1" applyFont="1" applyFill="1" applyBorder="1" applyAlignment="1" applyProtection="1">
      <alignment horizontal="right" wrapText="1"/>
      <protection locked="0"/>
    </xf>
    <xf numFmtId="0" fontId="3" fillId="0" borderId="2" xfId="0" applyFont="1" applyBorder="1" applyAlignment="1" applyProtection="1">
      <alignment horizontal="center" vertical="center"/>
      <protection hidden="1"/>
    </xf>
    <xf numFmtId="3" fontId="3" fillId="0" borderId="2" xfId="0" applyNumberFormat="1" applyFont="1" applyBorder="1" applyAlignment="1" applyProtection="1">
      <alignment horizontal="center" vertical="center"/>
      <protection locked="0" hidden="1"/>
    </xf>
    <xf numFmtId="0" fontId="3" fillId="0" borderId="2" xfId="0" applyNumberFormat="1" applyFont="1" applyBorder="1" applyAlignment="1" applyProtection="1">
      <alignment horizontal="center" vertical="center"/>
      <protection locked="0" hidden="1"/>
    </xf>
    <xf numFmtId="0" fontId="0" fillId="0" borderId="19" xfId="0" applyBorder="1"/>
    <xf numFmtId="0" fontId="3" fillId="0" borderId="9" xfId="0" applyFont="1" applyBorder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29" xfId="0" applyBorder="1"/>
    <xf numFmtId="0" fontId="8" fillId="0" borderId="29" xfId="0" applyFont="1" applyBorder="1"/>
    <xf numFmtId="1" fontId="3" fillId="0" borderId="2" xfId="0" applyNumberFormat="1" applyFont="1" applyBorder="1" applyAlignment="1" applyProtection="1">
      <alignment horizontal="center" vertical="center" wrapText="1"/>
      <protection locked="0" hidden="1"/>
    </xf>
    <xf numFmtId="0" fontId="15" fillId="4" borderId="30" xfId="1"/>
    <xf numFmtId="0" fontId="15" fillId="4" borderId="30" xfId="1" applyAlignment="1">
      <alignment vertic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30" xfId="1" applyAlignment="1" applyProtection="1">
      <alignment horizontal="center"/>
      <protection hidden="1"/>
    </xf>
    <xf numFmtId="1" fontId="15" fillId="4" borderId="30" xfId="1" applyNumberFormat="1" applyAlignment="1" applyProtection="1">
      <alignment horizontal="center" vertical="center"/>
      <protection hidden="1"/>
    </xf>
    <xf numFmtId="2" fontId="15" fillId="4" borderId="30" xfId="1" applyNumberFormat="1" applyAlignment="1" applyProtection="1">
      <alignment horizontal="center" vertical="center"/>
      <protection hidden="1"/>
    </xf>
    <xf numFmtId="0" fontId="15" fillId="4" borderId="30" xfId="1" applyAlignment="1">
      <alignment horizontal="center"/>
    </xf>
    <xf numFmtId="1" fontId="4" fillId="0" borderId="1" xfId="0" applyNumberFormat="1" applyFont="1" applyBorder="1" applyAlignment="1" applyProtection="1">
      <alignment horizontal="center" wrapText="1"/>
      <protection hidden="1"/>
    </xf>
    <xf numFmtId="1" fontId="3" fillId="0" borderId="11" xfId="0" applyNumberFormat="1" applyFont="1" applyBorder="1" applyAlignment="1">
      <alignment horizontal="center"/>
    </xf>
    <xf numFmtId="1" fontId="3" fillId="0" borderId="2" xfId="0" applyNumberFormat="1" applyFont="1" applyBorder="1" applyAlignment="1" applyProtection="1">
      <alignment horizontal="center" vertical="center"/>
      <protection locked="0" hidden="1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5" fillId="4" borderId="31" xfId="1" applyBorder="1" applyAlignment="1">
      <alignment vertical="center"/>
    </xf>
    <xf numFmtId="0" fontId="15" fillId="4" borderId="31" xfId="1" applyBorder="1"/>
    <xf numFmtId="0" fontId="0" fillId="0" borderId="0" xfId="0" applyFill="1" applyBorder="1"/>
    <xf numFmtId="0" fontId="16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5" fillId="0" borderId="9" xfId="1" applyFill="1" applyBorder="1" applyAlignment="1">
      <alignment vertical="center"/>
    </xf>
    <xf numFmtId="0" fontId="15" fillId="0" borderId="0" xfId="1" applyFill="1" applyBorder="1" applyAlignment="1">
      <alignment vertical="center"/>
    </xf>
    <xf numFmtId="0" fontId="15" fillId="0" borderId="9" xfId="1" applyFill="1" applyBorder="1"/>
    <xf numFmtId="1" fontId="3" fillId="0" borderId="8" xfId="0" applyNumberFormat="1" applyFont="1" applyBorder="1" applyAlignment="1" applyProtection="1">
      <alignment horizontal="center" wrapText="1"/>
      <protection hidden="1"/>
    </xf>
    <xf numFmtId="1" fontId="3" fillId="0" borderId="8" xfId="0" applyNumberFormat="1" applyFont="1" applyBorder="1" applyAlignment="1" applyProtection="1">
      <alignment horizontal="center"/>
      <protection hidden="1"/>
    </xf>
    <xf numFmtId="0" fontId="0" fillId="5" borderId="0" xfId="0" applyFill="1" applyBorder="1"/>
    <xf numFmtId="0" fontId="8" fillId="5" borderId="0" xfId="0" applyFont="1" applyFill="1" applyBorder="1"/>
    <xf numFmtId="0" fontId="15" fillId="5" borderId="0" xfId="1" applyFill="1" applyBorder="1" applyAlignment="1">
      <alignment vertical="center"/>
    </xf>
    <xf numFmtId="0" fontId="15" fillId="5" borderId="0" xfId="1" applyFill="1" applyBorder="1"/>
    <xf numFmtId="0" fontId="15" fillId="4" borderId="30" xfId="1" applyAlignment="1" applyProtection="1">
      <alignment horizontal="center" vertical="center"/>
      <protection hidden="1"/>
    </xf>
    <xf numFmtId="0" fontId="15" fillId="4" borderId="30" xfId="1" applyNumberFormat="1" applyAlignment="1" applyProtection="1">
      <alignment horizontal="center" vertical="center" wrapText="1"/>
      <protection locked="0" hidden="1"/>
    </xf>
    <xf numFmtId="3" fontId="15" fillId="4" borderId="30" xfId="1" applyNumberFormat="1" applyAlignment="1" applyProtection="1">
      <alignment horizontal="center" vertical="center"/>
      <protection locked="0" hidden="1"/>
    </xf>
    <xf numFmtId="1" fontId="15" fillId="4" borderId="30" xfId="1" applyNumberFormat="1" applyAlignment="1" applyProtection="1">
      <alignment horizontal="center" vertical="center"/>
      <protection locked="0" hidden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0" borderId="9" xfId="0" applyFont="1" applyBorder="1" applyAlignment="1" applyProtection="1">
      <alignment horizontal="center" wrapText="1"/>
      <protection hidden="1"/>
    </xf>
    <xf numFmtId="0" fontId="15" fillId="4" borderId="30" xfId="1" applyAlignment="1">
      <alignment vertical="center"/>
    </xf>
    <xf numFmtId="0" fontId="15" fillId="4" borderId="30" xfId="1" applyAlignment="1">
      <alignment horizontal="center" vertical="center"/>
    </xf>
    <xf numFmtId="1" fontId="15" fillId="4" borderId="30" xfId="1" applyNumberFormat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hidden="1"/>
    </xf>
    <xf numFmtId="0" fontId="3" fillId="0" borderId="31" xfId="0" applyNumberFormat="1" applyFont="1" applyBorder="1" applyAlignment="1" applyProtection="1">
      <alignment horizontal="center" vertical="center"/>
      <protection locked="0" hidden="1"/>
    </xf>
    <xf numFmtId="1" fontId="3" fillId="0" borderId="31" xfId="0" applyNumberFormat="1" applyFont="1" applyBorder="1" applyAlignment="1" applyProtection="1">
      <alignment horizontal="center" vertical="center"/>
      <protection locked="0" hidden="1"/>
    </xf>
    <xf numFmtId="1" fontId="0" fillId="0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/>
    </xf>
    <xf numFmtId="0" fontId="13" fillId="0" borderId="17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5" fillId="4" borderId="30" xfId="1" applyAlignment="1" applyProtection="1">
      <alignment horizontal="center" vertical="center"/>
      <protection hidden="1"/>
    </xf>
    <xf numFmtId="0" fontId="15" fillId="4" borderId="30" xfId="1" applyNumberFormat="1" applyAlignment="1" applyProtection="1">
      <alignment horizontal="center" vertical="center" wrapText="1"/>
      <protection locked="0" hidden="1"/>
    </xf>
    <xf numFmtId="3" fontId="15" fillId="4" borderId="30" xfId="1" applyNumberFormat="1" applyAlignment="1" applyProtection="1">
      <alignment horizontal="center" vertical="center"/>
      <protection locked="0" hidden="1"/>
    </xf>
    <xf numFmtId="0" fontId="15" fillId="4" borderId="30" xfId="1" applyNumberFormat="1" applyAlignment="1" applyProtection="1">
      <alignment horizontal="center" vertical="center"/>
      <protection locked="0" hidden="1"/>
    </xf>
    <xf numFmtId="0" fontId="13" fillId="0" borderId="13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3" fillId="0" borderId="9" xfId="0" applyFont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  <xf numFmtId="0" fontId="3" fillId="0" borderId="22" xfId="0" applyFont="1" applyBorder="1" applyAlignment="1" applyProtection="1">
      <alignment horizontal="center" wrapText="1"/>
      <protection hidden="1"/>
    </xf>
    <xf numFmtId="0" fontId="12" fillId="0" borderId="19" xfId="0" applyFont="1" applyBorder="1" applyAlignment="1" applyProtection="1">
      <alignment horizontal="center"/>
      <protection hidden="1"/>
    </xf>
    <xf numFmtId="0" fontId="12" fillId="0" borderId="20" xfId="0" applyFont="1" applyBorder="1" applyAlignment="1" applyProtection="1">
      <alignment horizontal="center"/>
      <protection hidden="1"/>
    </xf>
    <xf numFmtId="0" fontId="12" fillId="0" borderId="3" xfId="0" applyFont="1" applyBorder="1" applyAlignment="1" applyProtection="1">
      <alignment horizontal="center"/>
      <protection hidden="1"/>
    </xf>
    <xf numFmtId="0" fontId="15" fillId="4" borderId="30" xfId="1" applyAlignment="1">
      <alignment vertical="center"/>
    </xf>
    <xf numFmtId="0" fontId="15" fillId="4" borderId="30" xfId="1" applyAlignment="1">
      <alignment horizontal="center" vertical="center"/>
    </xf>
    <xf numFmtId="1" fontId="15" fillId="4" borderId="30" xfId="1" applyNumberFormat="1" applyAlignment="1">
      <alignment horizontal="center" vertical="center"/>
    </xf>
    <xf numFmtId="1" fontId="15" fillId="4" borderId="30" xfId="1" applyNumberFormat="1" applyAlignment="1" applyProtection="1">
      <alignment horizontal="center" vertical="center"/>
      <protection locked="0" hidden="1"/>
    </xf>
    <xf numFmtId="1" fontId="15" fillId="4" borderId="30" xfId="1" applyNumberFormat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  <protection locked="0" hidden="1"/>
    </xf>
    <xf numFmtId="2" fontId="3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Fill="1" applyBorder="1" applyAlignment="1">
      <alignment horizontal="center"/>
    </xf>
    <xf numFmtId="4" fontId="14" fillId="0" borderId="34" xfId="0" applyNumberFormat="1" applyFont="1" applyFill="1" applyBorder="1" applyAlignment="1">
      <alignment horizontal="right" vertical="center" wrapText="1"/>
    </xf>
    <xf numFmtId="4" fontId="18" fillId="0" borderId="34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3" fillId="0" borderId="3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wrapText="1"/>
    </xf>
    <xf numFmtId="0" fontId="15" fillId="4" borderId="33" xfId="1" applyBorder="1"/>
    <xf numFmtId="0" fontId="3" fillId="0" borderId="0" xfId="0" applyNumberFormat="1" applyFont="1" applyFill="1" applyBorder="1" applyAlignment="1" applyProtection="1">
      <alignment vertical="center"/>
      <protection locked="0" hidden="1"/>
    </xf>
    <xf numFmtId="0" fontId="0" fillId="0" borderId="33" xfId="0" applyBorder="1"/>
  </cellXfs>
  <cellStyles count="2">
    <cellStyle name="Ankrupäis" xfId="1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69853</xdr:colOff>
      <xdr:row>1</xdr:row>
      <xdr:rowOff>33865</xdr:rowOff>
    </xdr:from>
    <xdr:to>
      <xdr:col>1</xdr:col>
      <xdr:colOff>1205924</xdr:colOff>
      <xdr:row>1</xdr:row>
      <xdr:rowOff>316930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9853" y="443440"/>
          <a:ext cx="1374196" cy="283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193671</xdr:colOff>
      <xdr:row>0</xdr:row>
      <xdr:rowOff>66671</xdr:rowOff>
    </xdr:from>
    <xdr:to>
      <xdr:col>1</xdr:col>
      <xdr:colOff>812796</xdr:colOff>
      <xdr:row>0</xdr:row>
      <xdr:rowOff>376234</xdr:rowOff>
    </xdr:to>
    <xdr:pic>
      <xdr:nvPicPr>
        <xdr:cNvPr id="3" name="Picture 2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1" y="66671"/>
          <a:ext cx="857250" cy="309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69853</xdr:colOff>
      <xdr:row>1</xdr:row>
      <xdr:rowOff>6651</xdr:rowOff>
    </xdr:from>
    <xdr:to>
      <xdr:col>1</xdr:col>
      <xdr:colOff>1205924</xdr:colOff>
      <xdr:row>1</xdr:row>
      <xdr:rowOff>318291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9853" y="414865"/>
          <a:ext cx="1375557" cy="31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193671</xdr:colOff>
      <xdr:row>0</xdr:row>
      <xdr:rowOff>28571</xdr:rowOff>
    </xdr:from>
    <xdr:to>
      <xdr:col>1</xdr:col>
      <xdr:colOff>812796</xdr:colOff>
      <xdr:row>0</xdr:row>
      <xdr:rowOff>374873</xdr:rowOff>
    </xdr:to>
    <xdr:pic>
      <xdr:nvPicPr>
        <xdr:cNvPr id="3" name="Picture 2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1" y="28571"/>
          <a:ext cx="858611" cy="3463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69853</xdr:colOff>
      <xdr:row>1</xdr:row>
      <xdr:rowOff>33865</xdr:rowOff>
    </xdr:from>
    <xdr:to>
      <xdr:col>1</xdr:col>
      <xdr:colOff>1205924</xdr:colOff>
      <xdr:row>2</xdr:row>
      <xdr:rowOff>2605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9853" y="443440"/>
          <a:ext cx="1374196" cy="283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193671</xdr:colOff>
      <xdr:row>0</xdr:row>
      <xdr:rowOff>66671</xdr:rowOff>
    </xdr:from>
    <xdr:to>
      <xdr:col>1</xdr:col>
      <xdr:colOff>812796</xdr:colOff>
      <xdr:row>1</xdr:row>
      <xdr:rowOff>4759</xdr:rowOff>
    </xdr:to>
    <xdr:pic>
      <xdr:nvPicPr>
        <xdr:cNvPr id="3" name="Picture 2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1" y="66671"/>
          <a:ext cx="857250" cy="3095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0" cy="14739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04925" y="752475"/>
          <a:ext cx="0" cy="147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twoCellAnchor editAs="oneCell">
    <xdr:from>
      <xdr:col>2</xdr:col>
      <xdr:colOff>685800</xdr:colOff>
      <xdr:row>2</xdr:row>
      <xdr:rowOff>0</xdr:rowOff>
    </xdr:from>
    <xdr:to>
      <xdr:col>3</xdr:col>
      <xdr:colOff>5444</xdr:colOff>
      <xdr:row>2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304925" y="7524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 editAs="oneCell">
    <xdr:from>
      <xdr:col>0</xdr:col>
      <xdr:colOff>60326</xdr:colOff>
      <xdr:row>1</xdr:row>
      <xdr:rowOff>52915</xdr:rowOff>
    </xdr:from>
    <xdr:to>
      <xdr:col>2</xdr:col>
      <xdr:colOff>243464</xdr:colOff>
      <xdr:row>1</xdr:row>
      <xdr:rowOff>288802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0326" y="462490"/>
          <a:ext cx="1145163" cy="235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193676</xdr:colOff>
      <xdr:row>0</xdr:row>
      <xdr:rowOff>66675</xdr:rowOff>
    </xdr:from>
    <xdr:to>
      <xdr:col>2</xdr:col>
      <xdr:colOff>67658</xdr:colOff>
      <xdr:row>0</xdr:row>
      <xdr:rowOff>368566</xdr:rowOff>
    </xdr:to>
    <xdr:pic>
      <xdr:nvPicPr>
        <xdr:cNvPr id="6" name="Picture 5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6" y="66675"/>
          <a:ext cx="836007" cy="3018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0" cy="14739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76375" y="752475"/>
          <a:ext cx="0" cy="147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twoCellAnchor editAs="oneCell">
    <xdr:from>
      <xdr:col>2</xdr:col>
      <xdr:colOff>685800</xdr:colOff>
      <xdr:row>2</xdr:row>
      <xdr:rowOff>0</xdr:rowOff>
    </xdr:from>
    <xdr:to>
      <xdr:col>3</xdr:col>
      <xdr:colOff>5444</xdr:colOff>
      <xdr:row>2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476375" y="752475"/>
          <a:ext cx="5444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 editAs="oneCell">
    <xdr:from>
      <xdr:col>0</xdr:col>
      <xdr:colOff>60326</xdr:colOff>
      <xdr:row>1</xdr:row>
      <xdr:rowOff>52915</xdr:rowOff>
    </xdr:from>
    <xdr:to>
      <xdr:col>2</xdr:col>
      <xdr:colOff>243464</xdr:colOff>
      <xdr:row>1</xdr:row>
      <xdr:rowOff>288802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0326" y="462490"/>
          <a:ext cx="1154688" cy="235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193676</xdr:colOff>
      <xdr:row>0</xdr:row>
      <xdr:rowOff>66675</xdr:rowOff>
    </xdr:from>
    <xdr:to>
      <xdr:col>2</xdr:col>
      <xdr:colOff>67658</xdr:colOff>
      <xdr:row>0</xdr:row>
      <xdr:rowOff>368566</xdr:rowOff>
    </xdr:to>
    <xdr:pic>
      <xdr:nvPicPr>
        <xdr:cNvPr id="5" name="Picture 4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6" y="66675"/>
          <a:ext cx="845532" cy="3018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0" cy="14739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76375" y="752475"/>
          <a:ext cx="0" cy="147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twoCellAnchor editAs="oneCell">
    <xdr:from>
      <xdr:col>2</xdr:col>
      <xdr:colOff>685800</xdr:colOff>
      <xdr:row>2</xdr:row>
      <xdr:rowOff>0</xdr:rowOff>
    </xdr:from>
    <xdr:to>
      <xdr:col>3</xdr:col>
      <xdr:colOff>5444</xdr:colOff>
      <xdr:row>2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476375" y="752475"/>
          <a:ext cx="5444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 editAs="oneCell">
    <xdr:from>
      <xdr:col>0</xdr:col>
      <xdr:colOff>60326</xdr:colOff>
      <xdr:row>1</xdr:row>
      <xdr:rowOff>52915</xdr:rowOff>
    </xdr:from>
    <xdr:to>
      <xdr:col>2</xdr:col>
      <xdr:colOff>243464</xdr:colOff>
      <xdr:row>1</xdr:row>
      <xdr:rowOff>288802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0326" y="462490"/>
          <a:ext cx="1154688" cy="235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193676</xdr:colOff>
      <xdr:row>0</xdr:row>
      <xdr:rowOff>66675</xdr:rowOff>
    </xdr:from>
    <xdr:to>
      <xdr:col>2</xdr:col>
      <xdr:colOff>67658</xdr:colOff>
      <xdr:row>0</xdr:row>
      <xdr:rowOff>368566</xdr:rowOff>
    </xdr:to>
    <xdr:pic>
      <xdr:nvPicPr>
        <xdr:cNvPr id="5" name="Picture 4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6" y="66675"/>
          <a:ext cx="845532" cy="3018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0" cy="14739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76375" y="752475"/>
          <a:ext cx="0" cy="147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twoCellAnchor editAs="oneCell">
    <xdr:from>
      <xdr:col>2</xdr:col>
      <xdr:colOff>685800</xdr:colOff>
      <xdr:row>2</xdr:row>
      <xdr:rowOff>0</xdr:rowOff>
    </xdr:from>
    <xdr:to>
      <xdr:col>3</xdr:col>
      <xdr:colOff>5444</xdr:colOff>
      <xdr:row>2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476375" y="752475"/>
          <a:ext cx="5444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 editAs="oneCell">
    <xdr:from>
      <xdr:col>0</xdr:col>
      <xdr:colOff>60326</xdr:colOff>
      <xdr:row>1</xdr:row>
      <xdr:rowOff>52915</xdr:rowOff>
    </xdr:from>
    <xdr:to>
      <xdr:col>2</xdr:col>
      <xdr:colOff>243464</xdr:colOff>
      <xdr:row>1</xdr:row>
      <xdr:rowOff>288802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60326" y="462490"/>
          <a:ext cx="1154688" cy="235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193676</xdr:colOff>
      <xdr:row>0</xdr:row>
      <xdr:rowOff>66675</xdr:rowOff>
    </xdr:from>
    <xdr:to>
      <xdr:col>2</xdr:col>
      <xdr:colOff>67658</xdr:colOff>
      <xdr:row>0</xdr:row>
      <xdr:rowOff>368566</xdr:rowOff>
    </xdr:to>
    <xdr:pic>
      <xdr:nvPicPr>
        <xdr:cNvPr id="5" name="Picture 4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3676" y="66675"/>
          <a:ext cx="845532" cy="3018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karin\Rakendused\Excel\Addins\Juhtmearvutus%20funktsioonid.xla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karin\Rakendused\Excel\Addins\Mastide%20tabel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tmed"/>
    </sheetNames>
    <definedNames>
      <definedName name="Jaitekoormus_EN"/>
      <definedName name="juhe"/>
      <definedName name="Olekuvorrand"/>
      <definedName name="olekuvorrand_IN"/>
      <definedName name="pingsus"/>
      <definedName name="ripe"/>
      <definedName name="Tuulekoormus_en"/>
      <definedName name="Tuulerohk"/>
    </defined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tmed"/>
    </sheetNames>
    <definedNames>
      <definedName name="larv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1:IU82"/>
  <sheetViews>
    <sheetView workbookViewId="0">
      <selection activeCell="C24" sqref="C24:C25"/>
    </sheetView>
  </sheetViews>
  <sheetFormatPr defaultRowHeight="12.75" x14ac:dyDescent="0.2"/>
  <cols>
    <col min="1" max="1" width="3.140625" customWidth="1"/>
    <col min="2" max="2" width="20.28515625" customWidth="1"/>
    <col min="3" max="3" width="15.42578125" customWidth="1"/>
    <col min="4" max="4" width="15.5703125" customWidth="1"/>
    <col min="5" max="5" width="18.42578125" customWidth="1"/>
    <col min="6" max="6" width="12.140625" customWidth="1"/>
    <col min="7" max="7" width="19" customWidth="1"/>
    <col min="8" max="8" width="11" customWidth="1"/>
    <col min="9" max="9" width="17.28515625" customWidth="1"/>
    <col min="10" max="10" width="13.7109375" customWidth="1"/>
    <col min="11" max="11" width="12.42578125" customWidth="1"/>
    <col min="12" max="12" width="13.140625" customWidth="1"/>
  </cols>
  <sheetData>
    <row r="1" spans="1:15" ht="13.5" customHeight="1" x14ac:dyDescent="0.2">
      <c r="A1" s="164" t="s">
        <v>13</v>
      </c>
      <c r="B1" s="164"/>
      <c r="C1" s="164"/>
      <c r="D1" s="164"/>
      <c r="E1" s="164"/>
      <c r="F1" s="164"/>
      <c r="G1" s="164"/>
      <c r="H1" s="164"/>
      <c r="I1" s="164"/>
      <c r="J1" s="18"/>
      <c r="K1" s="18"/>
      <c r="L1" s="18"/>
      <c r="M1" s="18"/>
      <c r="N1" s="18"/>
      <c r="O1" s="19"/>
    </row>
    <row r="2" spans="1:15" ht="31.5" customHeight="1" x14ac:dyDescent="0.2">
      <c r="A2">
        <v>1</v>
      </c>
      <c r="B2" t="s">
        <v>50</v>
      </c>
      <c r="C2" s="58" t="s">
        <v>48</v>
      </c>
      <c r="D2" s="69" t="s">
        <v>86</v>
      </c>
      <c r="E2" s="69" t="s">
        <v>95</v>
      </c>
      <c r="F2" s="71" t="s">
        <v>94</v>
      </c>
      <c r="G2" s="69" t="s">
        <v>85</v>
      </c>
      <c r="H2" s="69" t="s">
        <v>217</v>
      </c>
      <c r="I2" s="69"/>
      <c r="J2" s="69"/>
      <c r="K2" s="69"/>
      <c r="L2" s="59"/>
      <c r="N2" s="69"/>
    </row>
    <row r="3" spans="1:15" x14ac:dyDescent="0.2">
      <c r="A3">
        <v>2</v>
      </c>
      <c r="B3" t="s">
        <v>64</v>
      </c>
      <c r="C3" s="2" t="s">
        <v>72</v>
      </c>
      <c r="D3" s="2" t="s">
        <v>87</v>
      </c>
      <c r="E3" s="2">
        <v>93.3</v>
      </c>
      <c r="F3">
        <v>67.099999999999994</v>
      </c>
      <c r="G3" s="2">
        <v>184.9</v>
      </c>
      <c r="H3" s="2" t="s">
        <v>218</v>
      </c>
      <c r="I3" s="2"/>
      <c r="J3" s="2"/>
      <c r="K3" s="2"/>
      <c r="N3" s="2"/>
    </row>
    <row r="4" spans="1:15" x14ac:dyDescent="0.2">
      <c r="A4">
        <v>3</v>
      </c>
      <c r="B4" t="s">
        <v>65</v>
      </c>
      <c r="C4" s="2" t="s">
        <v>73</v>
      </c>
      <c r="D4" s="2" t="s">
        <v>88</v>
      </c>
      <c r="E4" s="2" t="s">
        <v>96</v>
      </c>
      <c r="F4">
        <v>10.6</v>
      </c>
      <c r="G4" s="2">
        <v>17.600000000000001</v>
      </c>
      <c r="H4" s="2" t="s">
        <v>219</v>
      </c>
      <c r="I4" s="2"/>
      <c r="J4" s="2"/>
      <c r="K4" s="2"/>
      <c r="N4" s="2"/>
    </row>
    <row r="5" spans="1:15" x14ac:dyDescent="0.2">
      <c r="A5">
        <v>4</v>
      </c>
      <c r="B5" t="s">
        <v>66</v>
      </c>
      <c r="C5" s="2">
        <v>70500</v>
      </c>
      <c r="D5" s="2">
        <v>76000</v>
      </c>
      <c r="E5" s="2">
        <v>139300</v>
      </c>
      <c r="F5" s="2">
        <v>176600</v>
      </c>
      <c r="G5" s="2">
        <v>105000</v>
      </c>
      <c r="H5" s="2">
        <v>82500</v>
      </c>
      <c r="I5" s="2"/>
      <c r="J5" s="2"/>
      <c r="K5" s="2"/>
      <c r="L5" s="2"/>
      <c r="N5" s="2"/>
    </row>
    <row r="6" spans="1:15" x14ac:dyDescent="0.2">
      <c r="A6">
        <v>5</v>
      </c>
      <c r="B6" t="s">
        <v>67</v>
      </c>
      <c r="C6" s="2" t="s">
        <v>74</v>
      </c>
      <c r="D6" s="2" t="s">
        <v>89</v>
      </c>
      <c r="E6" s="2" t="s">
        <v>97</v>
      </c>
      <c r="F6" s="61">
        <v>1.2E-5</v>
      </c>
      <c r="G6" s="61">
        <v>1.5E-5</v>
      </c>
      <c r="H6" s="2" t="s">
        <v>220</v>
      </c>
      <c r="I6" s="2"/>
      <c r="J6" s="2"/>
      <c r="K6" s="61"/>
      <c r="L6" s="61"/>
      <c r="N6" s="2"/>
    </row>
    <row r="7" spans="1:15" x14ac:dyDescent="0.2">
      <c r="A7">
        <v>6</v>
      </c>
      <c r="B7" t="s">
        <v>68</v>
      </c>
      <c r="C7" s="2" t="s">
        <v>75</v>
      </c>
      <c r="D7" s="2" t="s">
        <v>90</v>
      </c>
      <c r="E7" s="2" t="s">
        <v>98</v>
      </c>
      <c r="F7">
        <v>5.3499999999999999E-2</v>
      </c>
      <c r="G7" s="2">
        <v>4.53E-2</v>
      </c>
      <c r="H7" s="2" t="s">
        <v>221</v>
      </c>
      <c r="I7" s="2"/>
      <c r="J7" s="2"/>
      <c r="K7" s="2"/>
      <c r="N7" s="2"/>
    </row>
    <row r="8" spans="1:15" x14ac:dyDescent="0.2">
      <c r="A8">
        <v>7</v>
      </c>
      <c r="B8" t="s">
        <v>69</v>
      </c>
      <c r="C8" s="2">
        <v>51990</v>
      </c>
      <c r="D8" s="2">
        <v>60000</v>
      </c>
      <c r="E8" s="2">
        <v>139300</v>
      </c>
      <c r="F8" s="2">
        <v>176600</v>
      </c>
      <c r="G8" s="2">
        <v>91000</v>
      </c>
      <c r="H8" s="2">
        <v>61290</v>
      </c>
      <c r="I8" s="2"/>
      <c r="J8" s="2"/>
      <c r="K8" s="2"/>
      <c r="L8" s="2"/>
      <c r="N8" s="2"/>
    </row>
    <row r="9" spans="1:15" x14ac:dyDescent="0.2">
      <c r="A9">
        <v>8</v>
      </c>
      <c r="B9" s="57" t="s">
        <v>71</v>
      </c>
      <c r="C9" s="2">
        <v>186</v>
      </c>
      <c r="D9" s="2"/>
      <c r="E9" s="2" t="s">
        <v>99</v>
      </c>
      <c r="F9">
        <v>650</v>
      </c>
      <c r="G9" s="2">
        <v>337</v>
      </c>
      <c r="H9" s="2"/>
      <c r="I9" s="2"/>
      <c r="J9" s="2"/>
      <c r="K9" s="2"/>
      <c r="N9" s="2"/>
    </row>
    <row r="10" spans="1:15" x14ac:dyDescent="0.2">
      <c r="A10">
        <v>9</v>
      </c>
      <c r="B10" t="s">
        <v>70</v>
      </c>
      <c r="C10" s="2">
        <v>127.04</v>
      </c>
      <c r="D10" s="2" t="s">
        <v>91</v>
      </c>
      <c r="E10" s="2" t="s">
        <v>100</v>
      </c>
      <c r="F10" s="2">
        <v>89.9</v>
      </c>
      <c r="G10" s="2">
        <v>93.62</v>
      </c>
      <c r="H10" s="2"/>
      <c r="I10" s="2"/>
      <c r="J10" s="2"/>
      <c r="K10" s="2"/>
      <c r="N10" s="2"/>
    </row>
    <row r="11" spans="1:15" x14ac:dyDescent="0.2">
      <c r="C11" s="2"/>
      <c r="D11" s="2"/>
      <c r="E11" s="2"/>
      <c r="L11" t="s">
        <v>82</v>
      </c>
    </row>
    <row r="12" spans="1:15" x14ac:dyDescent="0.2">
      <c r="B12" t="s">
        <v>41</v>
      </c>
      <c r="C12">
        <v>20</v>
      </c>
      <c r="D12">
        <v>0</v>
      </c>
      <c r="E12">
        <v>13</v>
      </c>
      <c r="F12">
        <v>0</v>
      </c>
      <c r="G12" s="2"/>
      <c r="H12" s="2">
        <v>20</v>
      </c>
      <c r="L12" t="s">
        <v>82</v>
      </c>
    </row>
    <row r="13" spans="1:15" x14ac:dyDescent="0.2">
      <c r="G13" t="s">
        <v>82</v>
      </c>
    </row>
    <row r="14" spans="1:15" x14ac:dyDescent="0.2">
      <c r="B14" s="1" t="s">
        <v>3</v>
      </c>
    </row>
    <row r="15" spans="1:15" x14ac:dyDescent="0.2">
      <c r="B15" t="s">
        <v>15</v>
      </c>
      <c r="C15">
        <v>0.05</v>
      </c>
    </row>
    <row r="16" spans="1:15" x14ac:dyDescent="0.2">
      <c r="B16" s="7" t="s">
        <v>16</v>
      </c>
      <c r="C16">
        <v>21</v>
      </c>
      <c r="D16">
        <v>21</v>
      </c>
      <c r="E16">
        <v>21</v>
      </c>
      <c r="F16">
        <v>21</v>
      </c>
    </row>
    <row r="17" spans="1:255" ht="12" customHeight="1" x14ac:dyDescent="0.2">
      <c r="B17" t="s">
        <v>1</v>
      </c>
      <c r="C17">
        <v>10</v>
      </c>
      <c r="D17">
        <v>10</v>
      </c>
      <c r="E17">
        <v>10</v>
      </c>
      <c r="F17">
        <v>10</v>
      </c>
    </row>
    <row r="18" spans="1:255" x14ac:dyDescent="0.2">
      <c r="B18" t="s">
        <v>14</v>
      </c>
      <c r="C18">
        <v>26</v>
      </c>
      <c r="D18">
        <v>18</v>
      </c>
      <c r="E18">
        <v>35</v>
      </c>
      <c r="F18">
        <v>35</v>
      </c>
    </row>
    <row r="20" spans="1:255" x14ac:dyDescent="0.2">
      <c r="B20" t="s">
        <v>4</v>
      </c>
      <c r="C20" s="3">
        <f>[1]!Tuulerohk(C16,hj,zo)</f>
        <v>376.32296593772992</v>
      </c>
      <c r="D20" s="3">
        <f>[1]!Tuulerohk(D16,hJ_1,zo)</f>
        <v>333.36853931694048</v>
      </c>
      <c r="E20" s="3">
        <f>[1]!Tuulerohk(E16,ht,zo)</f>
        <v>412.94726616973242</v>
      </c>
      <c r="F20" s="3">
        <f>[1]!Tuulerohk(F16,hj,zo)</f>
        <v>376.32296593772992</v>
      </c>
    </row>
    <row r="22" spans="1:255" s="13" customFormat="1" x14ac:dyDescent="0.2">
      <c r="C22"/>
      <c r="D22"/>
      <c r="E22"/>
      <c r="F22"/>
      <c r="G22"/>
      <c r="H22"/>
      <c r="I22"/>
      <c r="J22" s="15"/>
      <c r="K22" s="16"/>
      <c r="L22"/>
      <c r="N22" s="14"/>
      <c r="O22" s="14"/>
      <c r="R22" s="15"/>
      <c r="S22" s="16"/>
      <c r="T22" s="16"/>
      <c r="V22" s="14"/>
      <c r="W22" s="14"/>
      <c r="Z22" s="15"/>
      <c r="AA22" s="16"/>
      <c r="AB22" s="16"/>
      <c r="AD22" s="14"/>
      <c r="AE22" s="14"/>
      <c r="AH22" s="15"/>
      <c r="AI22" s="16"/>
      <c r="AJ22" s="16"/>
      <c r="AL22" s="14"/>
      <c r="AM22" s="14"/>
      <c r="AP22" s="15"/>
      <c r="AQ22" s="16"/>
      <c r="AR22" s="16"/>
      <c r="AT22" s="14"/>
      <c r="AU22" s="14"/>
      <c r="AX22" s="15"/>
      <c r="AY22" s="16"/>
      <c r="AZ22" s="16"/>
      <c r="BB22" s="14"/>
      <c r="BC22" s="14"/>
      <c r="BF22" s="15"/>
      <c r="BG22" s="16"/>
      <c r="BH22" s="16"/>
      <c r="BJ22" s="14"/>
      <c r="BK22" s="14"/>
      <c r="BN22" s="15"/>
      <c r="BO22" s="16"/>
      <c r="BP22" s="16"/>
      <c r="BR22" s="14"/>
      <c r="BS22" s="14"/>
      <c r="BV22" s="15"/>
      <c r="BW22" s="16"/>
      <c r="BX22" s="16"/>
      <c r="BZ22" s="14"/>
      <c r="CA22" s="14"/>
      <c r="CD22" s="15"/>
      <c r="CE22" s="16"/>
      <c r="CF22" s="16"/>
      <c r="CH22" s="14"/>
      <c r="CI22" s="14"/>
      <c r="CL22" s="15"/>
      <c r="CM22" s="16"/>
      <c r="CN22" s="16"/>
      <c r="CP22" s="14"/>
      <c r="CQ22" s="14"/>
      <c r="CT22" s="15"/>
      <c r="CU22" s="16"/>
      <c r="CV22" s="16"/>
      <c r="CX22" s="14"/>
      <c r="CY22" s="14"/>
      <c r="DB22" s="15"/>
      <c r="DC22" s="16"/>
      <c r="DD22" s="16"/>
      <c r="DF22" s="14"/>
      <c r="DG22" s="14"/>
      <c r="DJ22" s="15"/>
      <c r="DK22" s="16"/>
      <c r="DL22" s="16"/>
      <c r="DN22" s="14"/>
      <c r="DO22" s="14"/>
      <c r="DR22" s="15"/>
      <c r="DS22" s="16"/>
      <c r="DT22" s="16"/>
      <c r="DV22" s="14"/>
      <c r="DW22" s="14"/>
      <c r="DZ22" s="15"/>
      <c r="EA22" s="16"/>
      <c r="EB22" s="16"/>
      <c r="ED22" s="14"/>
      <c r="EE22" s="14"/>
      <c r="EH22" s="15"/>
      <c r="EI22" s="16"/>
      <c r="EJ22" s="16"/>
      <c r="EL22" s="14"/>
      <c r="EM22" s="14"/>
      <c r="EP22" s="15"/>
      <c r="EQ22" s="16"/>
      <c r="ER22" s="16"/>
      <c r="ET22" s="14"/>
      <c r="EU22" s="14"/>
      <c r="EX22" s="15"/>
      <c r="EY22" s="16"/>
      <c r="EZ22" s="16"/>
      <c r="FB22" s="14"/>
      <c r="FC22" s="14"/>
      <c r="FF22" s="15"/>
      <c r="FG22" s="16"/>
      <c r="FH22" s="16"/>
      <c r="FJ22" s="14"/>
      <c r="FK22" s="14"/>
      <c r="FN22" s="15"/>
      <c r="FO22" s="16"/>
      <c r="FP22" s="16"/>
      <c r="FR22" s="14"/>
      <c r="FS22" s="14"/>
      <c r="FV22" s="15"/>
      <c r="FW22" s="16"/>
      <c r="FX22" s="16"/>
      <c r="FZ22" s="14"/>
      <c r="GA22" s="14"/>
      <c r="GD22" s="15"/>
      <c r="GE22" s="16"/>
      <c r="GF22" s="16"/>
      <c r="GH22" s="14"/>
      <c r="GI22" s="14"/>
      <c r="GL22" s="15"/>
      <c r="GM22" s="16"/>
      <c r="GN22" s="16"/>
      <c r="GP22" s="14"/>
      <c r="GQ22" s="14"/>
      <c r="GT22" s="15"/>
      <c r="GU22" s="16"/>
      <c r="GV22" s="16"/>
      <c r="GX22" s="14"/>
      <c r="GY22" s="14"/>
      <c r="HB22" s="15"/>
      <c r="HC22" s="16"/>
      <c r="HD22" s="16"/>
      <c r="HF22" s="14"/>
      <c r="HG22" s="14"/>
      <c r="HJ22" s="15"/>
      <c r="HK22" s="16"/>
      <c r="HL22" s="16"/>
      <c r="HN22" s="14"/>
      <c r="HO22" s="14"/>
      <c r="HR22" s="15"/>
      <c r="HS22" s="16"/>
      <c r="HT22" s="16"/>
      <c r="HV22" s="14"/>
      <c r="HW22" s="14"/>
      <c r="HZ22" s="15"/>
      <c r="IA22" s="16"/>
      <c r="IB22" s="16"/>
      <c r="ID22" s="14"/>
      <c r="IE22" s="14"/>
      <c r="IH22" s="15"/>
      <c r="II22" s="16"/>
      <c r="IJ22" s="16"/>
      <c r="IL22" s="14"/>
      <c r="IM22" s="14"/>
      <c r="IP22" s="15"/>
      <c r="IQ22" s="16"/>
      <c r="IR22" s="16"/>
      <c r="IT22" s="14"/>
      <c r="IU22" s="14"/>
    </row>
    <row r="23" spans="1:255" s="13" customFormat="1" x14ac:dyDescent="0.2">
      <c r="B23" s="1" t="s">
        <v>40</v>
      </c>
      <c r="C23" s="8" t="s">
        <v>20</v>
      </c>
      <c r="D23" s="4" t="s">
        <v>17</v>
      </c>
      <c r="E23" s="4" t="s">
        <v>18</v>
      </c>
      <c r="F23" s="4" t="s">
        <v>19</v>
      </c>
      <c r="G23" s="32"/>
      <c r="H23" s="1"/>
      <c r="I23" s="1"/>
      <c r="J23" s="15"/>
      <c r="K23" s="16"/>
      <c r="L23"/>
      <c r="N23" s="14"/>
      <c r="O23" s="14"/>
      <c r="R23" s="15"/>
      <c r="S23" s="16"/>
      <c r="T23" s="16"/>
      <c r="V23" s="14"/>
      <c r="W23" s="14"/>
      <c r="Z23" s="15"/>
      <c r="AA23" s="16"/>
      <c r="AB23" s="16"/>
      <c r="AD23" s="14"/>
      <c r="AE23" s="14"/>
      <c r="AH23" s="15"/>
      <c r="AI23" s="16"/>
      <c r="AJ23" s="16"/>
      <c r="AL23" s="14"/>
      <c r="AM23" s="14"/>
      <c r="AP23" s="15"/>
      <c r="AQ23" s="16"/>
      <c r="AR23" s="16"/>
      <c r="AT23" s="14"/>
      <c r="AU23" s="14"/>
      <c r="AX23" s="15"/>
      <c r="AY23" s="16"/>
      <c r="AZ23" s="16"/>
      <c r="BB23" s="14"/>
      <c r="BC23" s="14"/>
      <c r="BF23" s="15"/>
      <c r="BG23" s="16"/>
      <c r="BH23" s="16"/>
      <c r="BJ23" s="14"/>
      <c r="BK23" s="14"/>
      <c r="BN23" s="15"/>
      <c r="BO23" s="16"/>
      <c r="BP23" s="16"/>
      <c r="BR23" s="14"/>
      <c r="BS23" s="14"/>
      <c r="BV23" s="15"/>
      <c r="BW23" s="16"/>
      <c r="BX23" s="16"/>
      <c r="BZ23" s="14"/>
      <c r="CA23" s="14"/>
      <c r="CD23" s="15"/>
      <c r="CE23" s="16"/>
      <c r="CF23" s="16"/>
      <c r="CH23" s="14"/>
      <c r="CI23" s="14"/>
      <c r="CL23" s="15"/>
      <c r="CM23" s="16"/>
      <c r="CN23" s="16"/>
      <c r="CP23" s="14"/>
      <c r="CQ23" s="14"/>
      <c r="CT23" s="15"/>
      <c r="CU23" s="16"/>
      <c r="CV23" s="16"/>
      <c r="CX23" s="14"/>
      <c r="CY23" s="14"/>
      <c r="DB23" s="15"/>
      <c r="DC23" s="16"/>
      <c r="DD23" s="16"/>
      <c r="DF23" s="14"/>
      <c r="DG23" s="14"/>
      <c r="DJ23" s="15"/>
      <c r="DK23" s="16"/>
      <c r="DL23" s="16"/>
      <c r="DN23" s="14"/>
      <c r="DO23" s="14"/>
      <c r="DR23" s="15"/>
      <c r="DS23" s="16"/>
      <c r="DT23" s="16"/>
      <c r="DV23" s="14"/>
      <c r="DW23" s="14"/>
      <c r="DZ23" s="15"/>
      <c r="EA23" s="16"/>
      <c r="EB23" s="16"/>
      <c r="ED23" s="14"/>
      <c r="EE23" s="14"/>
      <c r="EH23" s="15"/>
      <c r="EI23" s="16"/>
      <c r="EJ23" s="16"/>
      <c r="EL23" s="14"/>
      <c r="EM23" s="14"/>
      <c r="EP23" s="15"/>
      <c r="EQ23" s="16"/>
      <c r="ER23" s="16"/>
      <c r="ET23" s="14"/>
      <c r="EU23" s="14"/>
      <c r="EX23" s="15"/>
      <c r="EY23" s="16"/>
      <c r="EZ23" s="16"/>
      <c r="FB23" s="14"/>
      <c r="FC23" s="14"/>
      <c r="FF23" s="15"/>
      <c r="FG23" s="16"/>
      <c r="FH23" s="16"/>
      <c r="FJ23" s="14"/>
      <c r="FK23" s="14"/>
      <c r="FN23" s="15"/>
      <c r="FO23" s="16"/>
      <c r="FP23" s="16"/>
      <c r="FR23" s="14"/>
      <c r="FS23" s="14"/>
      <c r="FV23" s="15"/>
      <c r="FW23" s="16"/>
      <c r="FX23" s="16"/>
      <c r="FZ23" s="14"/>
      <c r="GA23" s="14"/>
      <c r="GD23" s="15"/>
      <c r="GE23" s="16"/>
      <c r="GF23" s="16"/>
      <c r="GH23" s="14"/>
      <c r="GI23" s="14"/>
      <c r="GL23" s="15"/>
      <c r="GM23" s="16"/>
      <c r="GN23" s="16"/>
      <c r="GP23" s="14"/>
      <c r="GQ23" s="14"/>
      <c r="GT23" s="15"/>
      <c r="GU23" s="16"/>
      <c r="GV23" s="16"/>
      <c r="GX23" s="14"/>
      <c r="GY23" s="14"/>
      <c r="HB23" s="15"/>
      <c r="HC23" s="16"/>
      <c r="HD23" s="16"/>
      <c r="HF23" s="14"/>
      <c r="HG23" s="14"/>
      <c r="HJ23" s="15"/>
      <c r="HK23" s="16"/>
      <c r="HL23" s="16"/>
      <c r="HN23" s="14"/>
      <c r="HO23" s="14"/>
      <c r="HR23" s="15"/>
      <c r="HS23" s="16"/>
      <c r="HT23" s="16"/>
      <c r="HV23" s="14"/>
      <c r="HW23" s="14"/>
      <c r="HZ23" s="15"/>
      <c r="IA23" s="16"/>
      <c r="IB23" s="16"/>
      <c r="ID23" s="14"/>
      <c r="IE23" s="14"/>
      <c r="IH23" s="15"/>
      <c r="II23" s="16"/>
      <c r="IJ23" s="16"/>
      <c r="IL23" s="14"/>
      <c r="IM23" s="14"/>
      <c r="IP23" s="15"/>
      <c r="IQ23" s="16"/>
      <c r="IR23" s="16"/>
      <c r="IT23" s="14"/>
      <c r="IU23" s="14"/>
    </row>
    <row r="24" spans="1:255" s="27" customFormat="1" x14ac:dyDescent="0.2">
      <c r="A24" s="159">
        <v>1</v>
      </c>
      <c r="B24" s="160" t="s">
        <v>23</v>
      </c>
      <c r="C24" s="158">
        <v>-5</v>
      </c>
      <c r="D24" s="157">
        <v>1</v>
      </c>
      <c r="E24" s="157">
        <v>0</v>
      </c>
      <c r="F24" s="157">
        <v>1.4</v>
      </c>
      <c r="G24" s="31"/>
      <c r="J24" s="28"/>
      <c r="K24" s="29"/>
      <c r="L24" s="29"/>
      <c r="N24" s="30"/>
      <c r="O24" s="30"/>
      <c r="R24" s="28"/>
      <c r="S24" s="29"/>
      <c r="T24" s="29"/>
      <c r="V24" s="30"/>
      <c r="W24" s="30"/>
      <c r="Z24" s="28"/>
      <c r="AA24" s="29"/>
      <c r="AB24" s="29"/>
      <c r="AD24" s="30"/>
      <c r="AE24" s="30"/>
      <c r="AH24" s="28"/>
      <c r="AI24" s="29"/>
      <c r="AJ24" s="29"/>
      <c r="AL24" s="30"/>
      <c r="AM24" s="30"/>
      <c r="AP24" s="28"/>
      <c r="AQ24" s="29"/>
      <c r="AR24" s="29"/>
      <c r="AT24" s="30"/>
      <c r="AU24" s="30"/>
      <c r="AX24" s="28"/>
      <c r="AY24" s="29"/>
      <c r="AZ24" s="29"/>
      <c r="BB24" s="30"/>
      <c r="BC24" s="30"/>
      <c r="BF24" s="28"/>
      <c r="BG24" s="29"/>
      <c r="BH24" s="29"/>
      <c r="BJ24" s="30"/>
      <c r="BK24" s="30"/>
      <c r="BN24" s="28"/>
      <c r="BO24" s="29"/>
      <c r="BP24" s="29"/>
      <c r="BR24" s="30"/>
      <c r="BS24" s="30"/>
      <c r="BV24" s="28"/>
      <c r="BW24" s="29"/>
      <c r="BX24" s="29"/>
      <c r="BZ24" s="30"/>
      <c r="CA24" s="30"/>
      <c r="CD24" s="28"/>
      <c r="CE24" s="29"/>
      <c r="CF24" s="29"/>
      <c r="CH24" s="30"/>
      <c r="CI24" s="30"/>
      <c r="CL24" s="28"/>
      <c r="CM24" s="29"/>
      <c r="CN24" s="29"/>
      <c r="CP24" s="30"/>
      <c r="CQ24" s="30"/>
      <c r="CT24" s="28"/>
      <c r="CU24" s="29"/>
      <c r="CV24" s="29"/>
      <c r="CX24" s="30"/>
      <c r="CY24" s="30"/>
      <c r="DB24" s="28"/>
      <c r="DC24" s="29"/>
      <c r="DD24" s="29"/>
      <c r="DF24" s="30"/>
      <c r="DG24" s="30"/>
      <c r="DJ24" s="28"/>
      <c r="DK24" s="29"/>
      <c r="DL24" s="29"/>
      <c r="DN24" s="30"/>
      <c r="DO24" s="30"/>
      <c r="DR24" s="28"/>
      <c r="DS24" s="29"/>
      <c r="DT24" s="29"/>
      <c r="DV24" s="30"/>
      <c r="DW24" s="30"/>
      <c r="DZ24" s="28"/>
      <c r="EA24" s="29"/>
      <c r="EB24" s="29"/>
      <c r="ED24" s="30"/>
      <c r="EE24" s="30"/>
      <c r="EH24" s="28"/>
      <c r="EI24" s="29"/>
      <c r="EJ24" s="29"/>
      <c r="EL24" s="30"/>
      <c r="EM24" s="30"/>
      <c r="EP24" s="28"/>
      <c r="EQ24" s="29"/>
      <c r="ER24" s="29"/>
      <c r="ET24" s="30"/>
      <c r="EU24" s="30"/>
      <c r="EX24" s="28"/>
      <c r="EY24" s="29"/>
      <c r="EZ24" s="29"/>
      <c r="FB24" s="30"/>
      <c r="FC24" s="30"/>
      <c r="FF24" s="28"/>
      <c r="FG24" s="29"/>
      <c r="FH24" s="29"/>
      <c r="FJ24" s="30"/>
      <c r="FK24" s="30"/>
      <c r="FN24" s="28"/>
      <c r="FO24" s="29"/>
      <c r="FP24" s="29"/>
      <c r="FR24" s="30"/>
      <c r="FS24" s="30"/>
      <c r="FV24" s="28"/>
      <c r="FW24" s="29"/>
      <c r="FX24" s="29"/>
      <c r="FZ24" s="30"/>
      <c r="GA24" s="30"/>
      <c r="GD24" s="28"/>
      <c r="GE24" s="29"/>
      <c r="GF24" s="29"/>
      <c r="GH24" s="30"/>
      <c r="GI24" s="30"/>
      <c r="GL24" s="28"/>
      <c r="GM24" s="29"/>
      <c r="GN24" s="29"/>
      <c r="GP24" s="30"/>
      <c r="GQ24" s="30"/>
      <c r="GT24" s="28"/>
      <c r="GU24" s="29"/>
      <c r="GV24" s="29"/>
      <c r="GX24" s="30"/>
      <c r="GY24" s="30"/>
      <c r="HB24" s="28"/>
      <c r="HC24" s="29"/>
      <c r="HD24" s="29"/>
      <c r="HF24" s="30"/>
      <c r="HG24" s="30"/>
      <c r="HJ24" s="28"/>
      <c r="HK24" s="29"/>
      <c r="HL24" s="29"/>
      <c r="HN24" s="30"/>
      <c r="HO24" s="30"/>
      <c r="HR24" s="28"/>
      <c r="HS24" s="29"/>
      <c r="HT24" s="29"/>
      <c r="HV24" s="30"/>
      <c r="HW24" s="30"/>
      <c r="HZ24" s="28"/>
      <c r="IA24" s="29"/>
      <c r="IB24" s="29"/>
      <c r="ID24" s="30"/>
      <c r="IE24" s="30"/>
      <c r="IH24" s="28"/>
      <c r="II24" s="29"/>
      <c r="IJ24" s="29"/>
      <c r="IL24" s="30"/>
      <c r="IM24" s="30"/>
      <c r="IP24" s="28"/>
      <c r="IQ24" s="29"/>
      <c r="IR24" s="29"/>
      <c r="IT24" s="30"/>
      <c r="IU24" s="30"/>
    </row>
    <row r="25" spans="1:255" s="27" customFormat="1" x14ac:dyDescent="0.2">
      <c r="A25" s="159"/>
      <c r="B25" s="160"/>
      <c r="C25" s="158"/>
      <c r="D25" s="157"/>
      <c r="E25" s="157"/>
      <c r="F25" s="157"/>
      <c r="G25" s="31"/>
      <c r="J25" s="28"/>
      <c r="K25" s="29"/>
      <c r="L25" s="29"/>
      <c r="N25" s="30"/>
      <c r="O25" s="30"/>
      <c r="R25" s="28"/>
      <c r="S25" s="29"/>
      <c r="T25" s="29"/>
      <c r="V25" s="30"/>
      <c r="W25" s="30"/>
      <c r="Z25" s="28"/>
      <c r="AA25" s="29"/>
      <c r="AB25" s="29"/>
      <c r="AD25" s="30"/>
      <c r="AE25" s="30"/>
      <c r="AH25" s="28"/>
      <c r="AI25" s="29"/>
      <c r="AJ25" s="29"/>
      <c r="AL25" s="30"/>
      <c r="AM25" s="30"/>
      <c r="AP25" s="28"/>
      <c r="AQ25" s="29"/>
      <c r="AR25" s="29"/>
      <c r="AT25" s="30"/>
      <c r="AU25" s="30"/>
      <c r="AX25" s="28"/>
      <c r="AY25" s="29"/>
      <c r="AZ25" s="29"/>
      <c r="BB25" s="30"/>
      <c r="BC25" s="30"/>
      <c r="BF25" s="28"/>
      <c r="BG25" s="29"/>
      <c r="BH25" s="29"/>
      <c r="BJ25" s="30"/>
      <c r="BK25" s="30"/>
      <c r="BN25" s="28"/>
      <c r="BO25" s="29"/>
      <c r="BP25" s="29"/>
      <c r="BR25" s="30"/>
      <c r="BS25" s="30"/>
      <c r="BV25" s="28"/>
      <c r="BW25" s="29"/>
      <c r="BX25" s="29"/>
      <c r="BZ25" s="30"/>
      <c r="CA25" s="30"/>
      <c r="CD25" s="28"/>
      <c r="CE25" s="29"/>
      <c r="CF25" s="29"/>
      <c r="CH25" s="30"/>
      <c r="CI25" s="30"/>
      <c r="CL25" s="28"/>
      <c r="CM25" s="29"/>
      <c r="CN25" s="29"/>
      <c r="CP25" s="30"/>
      <c r="CQ25" s="30"/>
      <c r="CT25" s="28"/>
      <c r="CU25" s="29"/>
      <c r="CV25" s="29"/>
      <c r="CX25" s="30"/>
      <c r="CY25" s="30"/>
      <c r="DB25" s="28"/>
      <c r="DC25" s="29"/>
      <c r="DD25" s="29"/>
      <c r="DF25" s="30"/>
      <c r="DG25" s="30"/>
      <c r="DJ25" s="28"/>
      <c r="DK25" s="29"/>
      <c r="DL25" s="29"/>
      <c r="DN25" s="30"/>
      <c r="DO25" s="30"/>
      <c r="DR25" s="28"/>
      <c r="DS25" s="29"/>
      <c r="DT25" s="29"/>
      <c r="DV25" s="30"/>
      <c r="DW25" s="30"/>
      <c r="DZ25" s="28"/>
      <c r="EA25" s="29"/>
      <c r="EB25" s="29"/>
      <c r="ED25" s="30"/>
      <c r="EE25" s="30"/>
      <c r="EH25" s="28"/>
      <c r="EI25" s="29"/>
      <c r="EJ25" s="29"/>
      <c r="EL25" s="30"/>
      <c r="EM25" s="30"/>
      <c r="EP25" s="28"/>
      <c r="EQ25" s="29"/>
      <c r="ER25" s="29"/>
      <c r="ET25" s="30"/>
      <c r="EU25" s="30"/>
      <c r="EX25" s="28"/>
      <c r="EY25" s="29"/>
      <c r="EZ25" s="29"/>
      <c r="FB25" s="30"/>
      <c r="FC25" s="30"/>
      <c r="FF25" s="28"/>
      <c r="FG25" s="29"/>
      <c r="FH25" s="29"/>
      <c r="FJ25" s="30"/>
      <c r="FK25" s="30"/>
      <c r="FN25" s="28"/>
      <c r="FO25" s="29"/>
      <c r="FP25" s="29"/>
      <c r="FR25" s="30"/>
      <c r="FS25" s="30"/>
      <c r="FV25" s="28"/>
      <c r="FW25" s="29"/>
      <c r="FX25" s="29"/>
      <c r="FZ25" s="30"/>
      <c r="GA25" s="30"/>
      <c r="GD25" s="28"/>
      <c r="GE25" s="29"/>
      <c r="GF25" s="29"/>
      <c r="GH25" s="30"/>
      <c r="GI25" s="30"/>
      <c r="GL25" s="28"/>
      <c r="GM25" s="29"/>
      <c r="GN25" s="29"/>
      <c r="GP25" s="30"/>
      <c r="GQ25" s="30"/>
      <c r="GT25" s="28"/>
      <c r="GU25" s="29"/>
      <c r="GV25" s="29"/>
      <c r="GX25" s="30"/>
      <c r="GY25" s="30"/>
      <c r="HB25" s="28"/>
      <c r="HC25" s="29"/>
      <c r="HD25" s="29"/>
      <c r="HF25" s="30"/>
      <c r="HG25" s="30"/>
      <c r="HJ25" s="28"/>
      <c r="HK25" s="29"/>
      <c r="HL25" s="29"/>
      <c r="HN25" s="30"/>
      <c r="HO25" s="30"/>
      <c r="HR25" s="28"/>
      <c r="HS25" s="29"/>
      <c r="HT25" s="29"/>
      <c r="HV25" s="30"/>
      <c r="HW25" s="30"/>
      <c r="HZ25" s="28"/>
      <c r="IA25" s="29"/>
      <c r="IB25" s="29"/>
      <c r="ID25" s="30"/>
      <c r="IE25" s="30"/>
      <c r="IH25" s="28"/>
      <c r="II25" s="29"/>
      <c r="IJ25" s="29"/>
      <c r="IL25" s="30"/>
      <c r="IM25" s="30"/>
      <c r="IP25" s="28"/>
      <c r="IQ25" s="29"/>
      <c r="IR25" s="29"/>
      <c r="IT25" s="30"/>
      <c r="IU25" s="30"/>
    </row>
    <row r="26" spans="1:255" s="27" customFormat="1" x14ac:dyDescent="0.2">
      <c r="A26" s="39"/>
      <c r="B26" s="40"/>
      <c r="C26" s="41"/>
      <c r="D26" s="37"/>
      <c r="E26" s="37"/>
      <c r="F26" s="37"/>
      <c r="G26" s="31"/>
      <c r="J26" s="28"/>
      <c r="K26" s="29"/>
      <c r="L26" s="29"/>
      <c r="N26" s="30"/>
      <c r="O26" s="30"/>
      <c r="R26" s="28"/>
      <c r="S26" s="29"/>
      <c r="T26" s="29"/>
      <c r="V26" s="30"/>
      <c r="W26" s="30"/>
      <c r="Z26" s="28"/>
      <c r="AA26" s="29"/>
      <c r="AB26" s="29"/>
      <c r="AD26" s="30"/>
      <c r="AE26" s="30"/>
      <c r="AH26" s="28"/>
      <c r="AI26" s="29"/>
      <c r="AJ26" s="29"/>
      <c r="AL26" s="30"/>
      <c r="AM26" s="30"/>
      <c r="AP26" s="28"/>
      <c r="AQ26" s="29"/>
      <c r="AR26" s="29"/>
      <c r="AT26" s="30"/>
      <c r="AU26" s="30"/>
      <c r="AX26" s="28"/>
      <c r="AY26" s="29"/>
      <c r="AZ26" s="29"/>
      <c r="BB26" s="30"/>
      <c r="BC26" s="30"/>
      <c r="BF26" s="28"/>
      <c r="BG26" s="29"/>
      <c r="BH26" s="29"/>
      <c r="BJ26" s="30"/>
      <c r="BK26" s="30"/>
      <c r="BN26" s="28"/>
      <c r="BO26" s="29"/>
      <c r="BP26" s="29"/>
      <c r="BR26" s="30"/>
      <c r="BS26" s="30"/>
      <c r="BV26" s="28"/>
      <c r="BW26" s="29"/>
      <c r="BX26" s="29"/>
      <c r="BZ26" s="30"/>
      <c r="CA26" s="30"/>
      <c r="CD26" s="28"/>
      <c r="CE26" s="29"/>
      <c r="CF26" s="29"/>
      <c r="CH26" s="30"/>
      <c r="CI26" s="30"/>
      <c r="CL26" s="28"/>
      <c r="CM26" s="29"/>
      <c r="CN26" s="29"/>
      <c r="CP26" s="30"/>
      <c r="CQ26" s="30"/>
      <c r="CT26" s="28"/>
      <c r="CU26" s="29"/>
      <c r="CV26" s="29"/>
      <c r="CX26" s="30"/>
      <c r="CY26" s="30"/>
      <c r="DB26" s="28"/>
      <c r="DC26" s="29"/>
      <c r="DD26" s="29"/>
      <c r="DF26" s="30"/>
      <c r="DG26" s="30"/>
      <c r="DJ26" s="28"/>
      <c r="DK26" s="29"/>
      <c r="DL26" s="29"/>
      <c r="DN26" s="30"/>
      <c r="DO26" s="30"/>
      <c r="DR26" s="28"/>
      <c r="DS26" s="29"/>
      <c r="DT26" s="29"/>
      <c r="DV26" s="30"/>
      <c r="DW26" s="30"/>
      <c r="DZ26" s="28"/>
      <c r="EA26" s="29"/>
      <c r="EB26" s="29"/>
      <c r="ED26" s="30"/>
      <c r="EE26" s="30"/>
      <c r="EH26" s="28"/>
      <c r="EI26" s="29"/>
      <c r="EJ26" s="29"/>
      <c r="EL26" s="30"/>
      <c r="EM26" s="30"/>
      <c r="EP26" s="28"/>
      <c r="EQ26" s="29"/>
      <c r="ER26" s="29"/>
      <c r="ET26" s="30"/>
      <c r="EU26" s="30"/>
      <c r="EX26" s="28"/>
      <c r="EY26" s="29"/>
      <c r="EZ26" s="29"/>
      <c r="FB26" s="30"/>
      <c r="FC26" s="30"/>
      <c r="FF26" s="28"/>
      <c r="FG26" s="29"/>
      <c r="FH26" s="29"/>
      <c r="FJ26" s="30"/>
      <c r="FK26" s="30"/>
      <c r="FN26" s="28"/>
      <c r="FO26" s="29"/>
      <c r="FP26" s="29"/>
      <c r="FR26" s="30"/>
      <c r="FS26" s="30"/>
      <c r="FV26" s="28"/>
      <c r="FW26" s="29"/>
      <c r="FX26" s="29"/>
      <c r="FZ26" s="30"/>
      <c r="GA26" s="30"/>
      <c r="GD26" s="28"/>
      <c r="GE26" s="29"/>
      <c r="GF26" s="29"/>
      <c r="GH26" s="30"/>
      <c r="GI26" s="30"/>
      <c r="GL26" s="28"/>
      <c r="GM26" s="29"/>
      <c r="GN26" s="29"/>
      <c r="GP26" s="30"/>
      <c r="GQ26" s="30"/>
      <c r="GT26" s="28"/>
      <c r="GU26" s="29"/>
      <c r="GV26" s="29"/>
      <c r="GX26" s="30"/>
      <c r="GY26" s="30"/>
      <c r="HB26" s="28"/>
      <c r="HC26" s="29"/>
      <c r="HD26" s="29"/>
      <c r="HF26" s="30"/>
      <c r="HG26" s="30"/>
      <c r="HJ26" s="28"/>
      <c r="HK26" s="29"/>
      <c r="HL26" s="29"/>
      <c r="HN26" s="30"/>
      <c r="HO26" s="30"/>
      <c r="HR26" s="28"/>
      <c r="HS26" s="29"/>
      <c r="HT26" s="29"/>
      <c r="HV26" s="30"/>
      <c r="HW26" s="30"/>
      <c r="HZ26" s="28"/>
      <c r="IA26" s="29"/>
      <c r="IB26" s="29"/>
      <c r="ID26" s="30"/>
      <c r="IE26" s="30"/>
      <c r="IH26" s="28"/>
      <c r="II26" s="29"/>
      <c r="IJ26" s="29"/>
      <c r="IL26" s="30"/>
      <c r="IM26" s="30"/>
      <c r="IP26" s="28"/>
      <c r="IQ26" s="29"/>
      <c r="IR26" s="29"/>
      <c r="IT26" s="30"/>
      <c r="IU26" s="30"/>
    </row>
    <row r="27" spans="1:255" s="27" customFormat="1" x14ac:dyDescent="0.2">
      <c r="A27" s="161">
        <v>2</v>
      </c>
      <c r="B27" s="163" t="s">
        <v>24</v>
      </c>
      <c r="C27" s="156">
        <v>-40</v>
      </c>
      <c r="D27" s="162">
        <v>1</v>
      </c>
      <c r="E27" s="162">
        <v>0</v>
      </c>
      <c r="F27" s="162">
        <v>0</v>
      </c>
      <c r="G27" s="31"/>
      <c r="J27" s="28"/>
      <c r="K27" s="29"/>
      <c r="L27" s="29"/>
      <c r="N27" s="30"/>
      <c r="O27" s="30"/>
      <c r="R27" s="28"/>
      <c r="S27" s="29"/>
      <c r="T27" s="29"/>
      <c r="V27" s="30"/>
      <c r="W27" s="30"/>
      <c r="Z27" s="28"/>
      <c r="AA27" s="29"/>
      <c r="AB27" s="29"/>
      <c r="AD27" s="30"/>
      <c r="AE27" s="30"/>
      <c r="AH27" s="28"/>
      <c r="AI27" s="29"/>
      <c r="AJ27" s="29"/>
      <c r="AL27" s="30"/>
      <c r="AM27" s="30"/>
      <c r="AP27" s="28"/>
      <c r="AQ27" s="29"/>
      <c r="AR27" s="29"/>
      <c r="AT27" s="30"/>
      <c r="AU27" s="30"/>
      <c r="AX27" s="28"/>
      <c r="AY27" s="29"/>
      <c r="AZ27" s="29"/>
      <c r="BB27" s="30"/>
      <c r="BC27" s="30"/>
      <c r="BF27" s="28"/>
      <c r="BG27" s="29"/>
      <c r="BH27" s="29"/>
      <c r="BJ27" s="30"/>
      <c r="BK27" s="30"/>
      <c r="BN27" s="28"/>
      <c r="BO27" s="29"/>
      <c r="BP27" s="29"/>
      <c r="BR27" s="30"/>
      <c r="BS27" s="30"/>
      <c r="BV27" s="28"/>
      <c r="BW27" s="29"/>
      <c r="BX27" s="29"/>
      <c r="BZ27" s="30"/>
      <c r="CA27" s="30"/>
      <c r="CD27" s="28"/>
      <c r="CE27" s="29"/>
      <c r="CF27" s="29"/>
      <c r="CH27" s="30"/>
      <c r="CI27" s="30"/>
      <c r="CL27" s="28"/>
      <c r="CM27" s="29"/>
      <c r="CN27" s="29"/>
      <c r="CP27" s="30"/>
      <c r="CQ27" s="30"/>
      <c r="CT27" s="28"/>
      <c r="CU27" s="29"/>
      <c r="CV27" s="29"/>
      <c r="CX27" s="30"/>
      <c r="CY27" s="30"/>
      <c r="DB27" s="28"/>
      <c r="DC27" s="29"/>
      <c r="DD27" s="29"/>
      <c r="DF27" s="30"/>
      <c r="DG27" s="30"/>
      <c r="DJ27" s="28"/>
      <c r="DK27" s="29"/>
      <c r="DL27" s="29"/>
      <c r="DN27" s="30"/>
      <c r="DO27" s="30"/>
      <c r="DR27" s="28"/>
      <c r="DS27" s="29"/>
      <c r="DT27" s="29"/>
      <c r="DV27" s="30"/>
      <c r="DW27" s="30"/>
      <c r="DZ27" s="28"/>
      <c r="EA27" s="29"/>
      <c r="EB27" s="29"/>
      <c r="ED27" s="30"/>
      <c r="EE27" s="30"/>
      <c r="EH27" s="28"/>
      <c r="EI27" s="29"/>
      <c r="EJ27" s="29"/>
      <c r="EL27" s="30"/>
      <c r="EM27" s="30"/>
      <c r="EP27" s="28"/>
      <c r="EQ27" s="29"/>
      <c r="ER27" s="29"/>
      <c r="ET27" s="30"/>
      <c r="EU27" s="30"/>
      <c r="EX27" s="28"/>
      <c r="EY27" s="29"/>
      <c r="EZ27" s="29"/>
      <c r="FB27" s="30"/>
      <c r="FC27" s="30"/>
      <c r="FF27" s="28"/>
      <c r="FG27" s="29"/>
      <c r="FH27" s="29"/>
      <c r="FJ27" s="30"/>
      <c r="FK27" s="30"/>
      <c r="FN27" s="28"/>
      <c r="FO27" s="29"/>
      <c r="FP27" s="29"/>
      <c r="FR27" s="30"/>
      <c r="FS27" s="30"/>
      <c r="FV27" s="28"/>
      <c r="FW27" s="29"/>
      <c r="FX27" s="29"/>
      <c r="FZ27" s="30"/>
      <c r="GA27" s="30"/>
      <c r="GD27" s="28"/>
      <c r="GE27" s="29"/>
      <c r="GF27" s="29"/>
      <c r="GH27" s="30"/>
      <c r="GI27" s="30"/>
      <c r="GL27" s="28"/>
      <c r="GM27" s="29"/>
      <c r="GN27" s="29"/>
      <c r="GP27" s="30"/>
      <c r="GQ27" s="30"/>
      <c r="GT27" s="28"/>
      <c r="GU27" s="29"/>
      <c r="GV27" s="29"/>
      <c r="GX27" s="30"/>
      <c r="GY27" s="30"/>
      <c r="HB27" s="28"/>
      <c r="HC27" s="29"/>
      <c r="HD27" s="29"/>
      <c r="HF27" s="30"/>
      <c r="HG27" s="30"/>
      <c r="HJ27" s="28"/>
      <c r="HK27" s="29"/>
      <c r="HL27" s="29"/>
      <c r="HN27" s="30"/>
      <c r="HO27" s="30"/>
      <c r="HR27" s="28"/>
      <c r="HS27" s="29"/>
      <c r="HT27" s="29"/>
      <c r="HV27" s="30"/>
      <c r="HW27" s="30"/>
      <c r="HZ27" s="28"/>
      <c r="IA27" s="29"/>
      <c r="IB27" s="29"/>
      <c r="ID27" s="30"/>
      <c r="IE27" s="30"/>
      <c r="IH27" s="28"/>
      <c r="II27" s="29"/>
      <c r="IJ27" s="29"/>
      <c r="IL27" s="30"/>
      <c r="IM27" s="30"/>
      <c r="IP27" s="28"/>
      <c r="IQ27" s="29"/>
      <c r="IR27" s="29"/>
      <c r="IT27" s="30"/>
      <c r="IU27" s="30"/>
    </row>
    <row r="28" spans="1:255" s="27" customFormat="1" x14ac:dyDescent="0.2">
      <c r="A28" s="161"/>
      <c r="B28" s="163"/>
      <c r="C28" s="156"/>
      <c r="D28" s="162"/>
      <c r="E28" s="162"/>
      <c r="F28" s="162"/>
      <c r="G28" s="31"/>
      <c r="J28" s="28"/>
      <c r="K28" s="29"/>
      <c r="L28" s="29"/>
      <c r="N28" s="30"/>
      <c r="O28" s="30"/>
      <c r="R28" s="28"/>
      <c r="S28" s="29"/>
      <c r="T28" s="29"/>
      <c r="V28" s="30"/>
      <c r="W28" s="30"/>
      <c r="Z28" s="28"/>
      <c r="AA28" s="29"/>
      <c r="AB28" s="29"/>
      <c r="AD28" s="30"/>
      <c r="AE28" s="30"/>
      <c r="AH28" s="28"/>
      <c r="AI28" s="29"/>
      <c r="AJ28" s="29"/>
      <c r="AL28" s="30"/>
      <c r="AM28" s="30"/>
      <c r="AP28" s="28"/>
      <c r="AQ28" s="29"/>
      <c r="AR28" s="29"/>
      <c r="AT28" s="30"/>
      <c r="AU28" s="30"/>
      <c r="AX28" s="28"/>
      <c r="AY28" s="29"/>
      <c r="AZ28" s="29"/>
      <c r="BB28" s="30"/>
      <c r="BC28" s="30"/>
      <c r="BF28" s="28"/>
      <c r="BG28" s="29"/>
      <c r="BH28" s="29"/>
      <c r="BJ28" s="30"/>
      <c r="BK28" s="30"/>
      <c r="BN28" s="28"/>
      <c r="BO28" s="29"/>
      <c r="BP28" s="29"/>
      <c r="BR28" s="30"/>
      <c r="BS28" s="30"/>
      <c r="BV28" s="28"/>
      <c r="BW28" s="29"/>
      <c r="BX28" s="29"/>
      <c r="BZ28" s="30"/>
      <c r="CA28" s="30"/>
      <c r="CD28" s="28"/>
      <c r="CE28" s="29"/>
      <c r="CF28" s="29"/>
      <c r="CH28" s="30"/>
      <c r="CI28" s="30"/>
      <c r="CL28" s="28"/>
      <c r="CM28" s="29"/>
      <c r="CN28" s="29"/>
      <c r="CP28" s="30"/>
      <c r="CQ28" s="30"/>
      <c r="CT28" s="28"/>
      <c r="CU28" s="29"/>
      <c r="CV28" s="29"/>
      <c r="CX28" s="30"/>
      <c r="CY28" s="30"/>
      <c r="DB28" s="28"/>
      <c r="DC28" s="29"/>
      <c r="DD28" s="29"/>
      <c r="DF28" s="30"/>
      <c r="DG28" s="30"/>
      <c r="DJ28" s="28"/>
      <c r="DK28" s="29"/>
      <c r="DL28" s="29"/>
      <c r="DN28" s="30"/>
      <c r="DO28" s="30"/>
      <c r="DR28" s="28"/>
      <c r="DS28" s="29"/>
      <c r="DT28" s="29"/>
      <c r="DV28" s="30"/>
      <c r="DW28" s="30"/>
      <c r="DZ28" s="28"/>
      <c r="EA28" s="29"/>
      <c r="EB28" s="29"/>
      <c r="ED28" s="30"/>
      <c r="EE28" s="30"/>
      <c r="EH28" s="28"/>
      <c r="EI28" s="29"/>
      <c r="EJ28" s="29"/>
      <c r="EL28" s="30"/>
      <c r="EM28" s="30"/>
      <c r="EP28" s="28"/>
      <c r="EQ28" s="29"/>
      <c r="ER28" s="29"/>
      <c r="ET28" s="30"/>
      <c r="EU28" s="30"/>
      <c r="EX28" s="28"/>
      <c r="EY28" s="29"/>
      <c r="EZ28" s="29"/>
      <c r="FB28" s="30"/>
      <c r="FC28" s="30"/>
      <c r="FF28" s="28"/>
      <c r="FG28" s="29"/>
      <c r="FH28" s="29"/>
      <c r="FJ28" s="30"/>
      <c r="FK28" s="30"/>
      <c r="FN28" s="28"/>
      <c r="FO28" s="29"/>
      <c r="FP28" s="29"/>
      <c r="FR28" s="30"/>
      <c r="FS28" s="30"/>
      <c r="FV28" s="28"/>
      <c r="FW28" s="29"/>
      <c r="FX28" s="29"/>
      <c r="FZ28" s="30"/>
      <c r="GA28" s="30"/>
      <c r="GD28" s="28"/>
      <c r="GE28" s="29"/>
      <c r="GF28" s="29"/>
      <c r="GH28" s="30"/>
      <c r="GI28" s="30"/>
      <c r="GL28" s="28"/>
      <c r="GM28" s="29"/>
      <c r="GN28" s="29"/>
      <c r="GP28" s="30"/>
      <c r="GQ28" s="30"/>
      <c r="GT28" s="28"/>
      <c r="GU28" s="29"/>
      <c r="GV28" s="29"/>
      <c r="GX28" s="30"/>
      <c r="GY28" s="30"/>
      <c r="HB28" s="28"/>
      <c r="HC28" s="29"/>
      <c r="HD28" s="29"/>
      <c r="HF28" s="30"/>
      <c r="HG28" s="30"/>
      <c r="HJ28" s="28"/>
      <c r="HK28" s="29"/>
      <c r="HL28" s="29"/>
      <c r="HN28" s="30"/>
      <c r="HO28" s="30"/>
      <c r="HR28" s="28"/>
      <c r="HS28" s="29"/>
      <c r="HT28" s="29"/>
      <c r="HV28" s="30"/>
      <c r="HW28" s="30"/>
      <c r="HZ28" s="28"/>
      <c r="IA28" s="29"/>
      <c r="IB28" s="29"/>
      <c r="ID28" s="30"/>
      <c r="IE28" s="30"/>
      <c r="IH28" s="28"/>
      <c r="II28" s="29"/>
      <c r="IJ28" s="29"/>
      <c r="IL28" s="30"/>
      <c r="IM28" s="30"/>
      <c r="IP28" s="28"/>
      <c r="IQ28" s="29"/>
      <c r="IR28" s="29"/>
      <c r="IT28" s="30"/>
      <c r="IU28" s="30"/>
    </row>
    <row r="29" spans="1:255" s="27" customFormat="1" x14ac:dyDescent="0.2">
      <c r="A29" s="36"/>
      <c r="B29" s="35"/>
      <c r="C29" s="38"/>
      <c r="D29" s="31"/>
      <c r="E29" s="31"/>
      <c r="F29" s="31"/>
      <c r="G29" s="31"/>
      <c r="J29" s="28"/>
      <c r="K29" s="29"/>
      <c r="L29" s="29"/>
      <c r="N29" s="30"/>
      <c r="O29" s="30"/>
      <c r="R29" s="28"/>
      <c r="S29" s="29"/>
      <c r="T29" s="29"/>
      <c r="V29" s="30"/>
      <c r="W29" s="30"/>
      <c r="Z29" s="28"/>
      <c r="AA29" s="29"/>
      <c r="AB29" s="29"/>
      <c r="AD29" s="30"/>
      <c r="AE29" s="30"/>
      <c r="AH29" s="28"/>
      <c r="AI29" s="29"/>
      <c r="AJ29" s="29"/>
      <c r="AL29" s="30"/>
      <c r="AM29" s="30"/>
      <c r="AP29" s="28"/>
      <c r="AQ29" s="29"/>
      <c r="AR29" s="29"/>
      <c r="AT29" s="30"/>
      <c r="AU29" s="30"/>
      <c r="AX29" s="28"/>
      <c r="AY29" s="29"/>
      <c r="AZ29" s="29"/>
      <c r="BB29" s="30"/>
      <c r="BC29" s="30"/>
      <c r="BF29" s="28"/>
      <c r="BG29" s="29"/>
      <c r="BH29" s="29"/>
      <c r="BJ29" s="30"/>
      <c r="BK29" s="30"/>
      <c r="BN29" s="28"/>
      <c r="BO29" s="29"/>
      <c r="BP29" s="29"/>
      <c r="BR29" s="30"/>
      <c r="BS29" s="30"/>
      <c r="BV29" s="28"/>
      <c r="BW29" s="29"/>
      <c r="BX29" s="29"/>
      <c r="BZ29" s="30"/>
      <c r="CA29" s="30"/>
      <c r="CD29" s="28"/>
      <c r="CE29" s="29"/>
      <c r="CF29" s="29"/>
      <c r="CH29" s="30"/>
      <c r="CI29" s="30"/>
      <c r="CL29" s="28"/>
      <c r="CM29" s="29"/>
      <c r="CN29" s="29"/>
      <c r="CP29" s="30"/>
      <c r="CQ29" s="30"/>
      <c r="CT29" s="28"/>
      <c r="CU29" s="29"/>
      <c r="CV29" s="29"/>
      <c r="CX29" s="30"/>
      <c r="CY29" s="30"/>
      <c r="DB29" s="28"/>
      <c r="DC29" s="29"/>
      <c r="DD29" s="29"/>
      <c r="DF29" s="30"/>
      <c r="DG29" s="30"/>
      <c r="DJ29" s="28"/>
      <c r="DK29" s="29"/>
      <c r="DL29" s="29"/>
      <c r="DN29" s="30"/>
      <c r="DO29" s="30"/>
      <c r="DR29" s="28"/>
      <c r="DS29" s="29"/>
      <c r="DT29" s="29"/>
      <c r="DV29" s="30"/>
      <c r="DW29" s="30"/>
      <c r="DZ29" s="28"/>
      <c r="EA29" s="29"/>
      <c r="EB29" s="29"/>
      <c r="ED29" s="30"/>
      <c r="EE29" s="30"/>
      <c r="EH29" s="28"/>
      <c r="EI29" s="29"/>
      <c r="EJ29" s="29"/>
      <c r="EL29" s="30"/>
      <c r="EM29" s="30"/>
      <c r="EP29" s="28"/>
      <c r="EQ29" s="29"/>
      <c r="ER29" s="29"/>
      <c r="ET29" s="30"/>
      <c r="EU29" s="30"/>
      <c r="EX29" s="28"/>
      <c r="EY29" s="29"/>
      <c r="EZ29" s="29"/>
      <c r="FB29" s="30"/>
      <c r="FC29" s="30"/>
      <c r="FF29" s="28"/>
      <c r="FG29" s="29"/>
      <c r="FH29" s="29"/>
      <c r="FJ29" s="30"/>
      <c r="FK29" s="30"/>
      <c r="FN29" s="28"/>
      <c r="FO29" s="29"/>
      <c r="FP29" s="29"/>
      <c r="FR29" s="30"/>
      <c r="FS29" s="30"/>
      <c r="FV29" s="28"/>
      <c r="FW29" s="29"/>
      <c r="FX29" s="29"/>
      <c r="FZ29" s="30"/>
      <c r="GA29" s="30"/>
      <c r="GD29" s="28"/>
      <c r="GE29" s="29"/>
      <c r="GF29" s="29"/>
      <c r="GH29" s="30"/>
      <c r="GI29" s="30"/>
      <c r="GL29" s="28"/>
      <c r="GM29" s="29"/>
      <c r="GN29" s="29"/>
      <c r="GP29" s="30"/>
      <c r="GQ29" s="30"/>
      <c r="GT29" s="28"/>
      <c r="GU29" s="29"/>
      <c r="GV29" s="29"/>
      <c r="GX29" s="30"/>
      <c r="GY29" s="30"/>
      <c r="HB29" s="28"/>
      <c r="HC29" s="29"/>
      <c r="HD29" s="29"/>
      <c r="HF29" s="30"/>
      <c r="HG29" s="30"/>
      <c r="HJ29" s="28"/>
      <c r="HK29" s="29"/>
      <c r="HL29" s="29"/>
      <c r="HN29" s="30"/>
      <c r="HO29" s="30"/>
      <c r="HR29" s="28"/>
      <c r="HS29" s="29"/>
      <c r="HT29" s="29"/>
      <c r="HV29" s="30"/>
      <c r="HW29" s="30"/>
      <c r="HZ29" s="28"/>
      <c r="IA29" s="29"/>
      <c r="IB29" s="29"/>
      <c r="ID29" s="30"/>
      <c r="IE29" s="30"/>
      <c r="IH29" s="28"/>
      <c r="II29" s="29"/>
      <c r="IJ29" s="29"/>
      <c r="IL29" s="30"/>
      <c r="IM29" s="30"/>
      <c r="IP29" s="28"/>
      <c r="IQ29" s="29"/>
      <c r="IR29" s="29"/>
      <c r="IT29" s="30"/>
      <c r="IU29" s="30"/>
    </row>
    <row r="30" spans="1:255" ht="11.25" customHeight="1" x14ac:dyDescent="0.2">
      <c r="A30" s="159">
        <v>3</v>
      </c>
      <c r="B30" s="160" t="s">
        <v>25</v>
      </c>
      <c r="C30" s="158">
        <v>-15</v>
      </c>
      <c r="D30" s="157">
        <v>1</v>
      </c>
      <c r="E30" s="157">
        <v>0</v>
      </c>
      <c r="F30" s="157">
        <v>0.56000000000000005</v>
      </c>
      <c r="G30" s="31"/>
      <c r="H30" s="27"/>
      <c r="I30" s="27"/>
      <c r="J30" s="28"/>
      <c r="K30" s="29"/>
      <c r="L30" s="6"/>
      <c r="N30" s="3"/>
      <c r="O30" s="3"/>
      <c r="R30" s="7"/>
      <c r="S30" s="6"/>
      <c r="T30" s="6"/>
      <c r="V30" s="3"/>
      <c r="W30" s="3"/>
      <c r="Z30" s="7"/>
      <c r="AA30" s="6"/>
      <c r="AB30" s="6"/>
      <c r="AD30" s="3"/>
      <c r="AE30" s="3"/>
      <c r="AH30" s="7"/>
      <c r="AI30" s="6"/>
      <c r="AJ30" s="6"/>
      <c r="AL30" s="3"/>
      <c r="AM30" s="3"/>
      <c r="AP30" s="7"/>
      <c r="AQ30" s="6"/>
      <c r="AR30" s="6"/>
      <c r="AT30" s="3"/>
      <c r="AU30" s="3"/>
      <c r="AX30" s="7"/>
      <c r="AY30" s="6"/>
      <c r="AZ30" s="6"/>
      <c r="BB30" s="3"/>
      <c r="BC30" s="3"/>
      <c r="BF30" s="7"/>
      <c r="BG30" s="6"/>
      <c r="BH30" s="6"/>
      <c r="BJ30" s="3"/>
      <c r="BK30" s="3"/>
      <c r="BN30" s="7"/>
      <c r="BO30" s="6"/>
      <c r="BP30" s="6"/>
      <c r="BR30" s="3"/>
      <c r="BS30" s="3"/>
      <c r="BV30" s="7"/>
      <c r="BW30" s="6"/>
      <c r="BX30" s="6"/>
      <c r="BZ30" s="3"/>
      <c r="CA30" s="3"/>
      <c r="CD30" s="7"/>
      <c r="CE30" s="6"/>
      <c r="CF30" s="6"/>
      <c r="CH30" s="3"/>
      <c r="CI30" s="3"/>
      <c r="CL30" s="7"/>
      <c r="CM30" s="6"/>
      <c r="CN30" s="6"/>
      <c r="CP30" s="3"/>
      <c r="CQ30" s="3"/>
      <c r="CT30" s="7"/>
      <c r="CU30" s="6"/>
      <c r="CV30" s="6"/>
      <c r="CX30" s="3"/>
      <c r="CY30" s="3"/>
      <c r="DB30" s="7"/>
      <c r="DC30" s="6"/>
      <c r="DD30" s="6"/>
      <c r="DF30" s="3"/>
      <c r="DG30" s="3"/>
      <c r="DJ30" s="7"/>
      <c r="DK30" s="6"/>
      <c r="DL30" s="6"/>
      <c r="DN30" s="3"/>
      <c r="DO30" s="3"/>
      <c r="DR30" s="7"/>
      <c r="DS30" s="6"/>
      <c r="DT30" s="6"/>
      <c r="DV30" s="3"/>
      <c r="DW30" s="3"/>
      <c r="DZ30" s="7"/>
      <c r="EA30" s="6"/>
      <c r="EB30" s="6"/>
      <c r="ED30" s="3"/>
      <c r="EE30" s="3"/>
      <c r="EH30" s="7"/>
      <c r="EI30" s="6"/>
      <c r="EJ30" s="6"/>
      <c r="EL30" s="3"/>
      <c r="EM30" s="3"/>
      <c r="EP30" s="7"/>
      <c r="EQ30" s="6"/>
      <c r="ER30" s="6"/>
      <c r="ET30" s="3"/>
      <c r="EU30" s="3"/>
      <c r="EX30" s="7"/>
      <c r="EY30" s="6"/>
      <c r="EZ30" s="6"/>
      <c r="FB30" s="3"/>
      <c r="FC30" s="3"/>
      <c r="FF30" s="7"/>
      <c r="FG30" s="6"/>
      <c r="FH30" s="6"/>
      <c r="FJ30" s="3"/>
      <c r="FK30" s="3"/>
      <c r="FN30" s="7"/>
      <c r="FO30" s="6"/>
      <c r="FP30" s="6"/>
      <c r="FR30" s="3"/>
      <c r="FS30" s="3"/>
      <c r="FV30" s="7"/>
      <c r="FW30" s="6"/>
      <c r="FX30" s="6"/>
      <c r="FZ30" s="3"/>
      <c r="GA30" s="3"/>
      <c r="GD30" s="7"/>
      <c r="GE30" s="6"/>
      <c r="GF30" s="6"/>
      <c r="GH30" s="3"/>
      <c r="GI30" s="3"/>
      <c r="GL30" s="7"/>
      <c r="GM30" s="6"/>
      <c r="GN30" s="6"/>
      <c r="GP30" s="3"/>
      <c r="GQ30" s="3"/>
      <c r="GT30" s="7"/>
      <c r="GU30" s="6"/>
      <c r="GV30" s="6"/>
      <c r="GX30" s="3"/>
      <c r="GY30" s="3"/>
      <c r="HB30" s="7"/>
      <c r="HC30" s="6"/>
      <c r="HD30" s="6"/>
      <c r="HF30" s="3"/>
      <c r="HG30" s="3"/>
      <c r="HJ30" s="7"/>
      <c r="HK30" s="6"/>
      <c r="HL30" s="6"/>
      <c r="HN30" s="3"/>
      <c r="HO30" s="3"/>
      <c r="HR30" s="7"/>
      <c r="HS30" s="6"/>
      <c r="HT30" s="6"/>
      <c r="HV30" s="3"/>
      <c r="HW30" s="3"/>
      <c r="HZ30" s="7"/>
      <c r="IA30" s="6"/>
      <c r="IB30" s="6"/>
      <c r="ID30" s="3"/>
      <c r="IE30" s="3"/>
      <c r="IH30" s="7"/>
      <c r="II30" s="6"/>
      <c r="IJ30" s="6"/>
      <c r="IL30" s="3"/>
      <c r="IM30" s="3"/>
      <c r="IP30" s="7"/>
      <c r="IQ30" s="6"/>
      <c r="IR30" s="6"/>
      <c r="IT30" s="3"/>
      <c r="IU30" s="3"/>
    </row>
    <row r="31" spans="1:255" x14ac:dyDescent="0.2">
      <c r="A31" s="159"/>
      <c r="B31" s="160"/>
      <c r="C31" s="158"/>
      <c r="D31" s="157"/>
      <c r="E31" s="157"/>
      <c r="F31" s="157"/>
      <c r="G31" s="31"/>
      <c r="H31" s="27"/>
      <c r="I31" s="27"/>
      <c r="J31" s="28"/>
      <c r="K31" s="29"/>
      <c r="L31" s="6"/>
      <c r="N31" s="3"/>
      <c r="O31" s="3"/>
      <c r="R31" s="7"/>
      <c r="S31" s="6"/>
      <c r="T31" s="6"/>
      <c r="V31" s="3"/>
      <c r="W31" s="3"/>
      <c r="Z31" s="7"/>
      <c r="AA31" s="6"/>
      <c r="AB31" s="6"/>
      <c r="AD31" s="3"/>
      <c r="AE31" s="3"/>
      <c r="AH31" s="7"/>
      <c r="AI31" s="6"/>
      <c r="AJ31" s="6"/>
      <c r="AL31" s="3"/>
      <c r="AM31" s="3"/>
      <c r="AP31" s="7"/>
      <c r="AQ31" s="6"/>
      <c r="AR31" s="6"/>
      <c r="AT31" s="3"/>
      <c r="AU31" s="3"/>
      <c r="AX31" s="7"/>
      <c r="AY31" s="6"/>
      <c r="AZ31" s="6"/>
      <c r="BB31" s="3"/>
      <c r="BC31" s="3"/>
      <c r="BF31" s="7"/>
      <c r="BG31" s="6"/>
      <c r="BH31" s="6"/>
      <c r="BJ31" s="3"/>
      <c r="BK31" s="3"/>
      <c r="BN31" s="7"/>
      <c r="BO31" s="6"/>
      <c r="BP31" s="6"/>
      <c r="BR31" s="3"/>
      <c r="BS31" s="3"/>
      <c r="BV31" s="7"/>
      <c r="BW31" s="6"/>
      <c r="BX31" s="6"/>
      <c r="BZ31" s="3"/>
      <c r="CA31" s="3"/>
      <c r="CD31" s="7"/>
      <c r="CE31" s="6"/>
      <c r="CF31" s="6"/>
      <c r="CH31" s="3"/>
      <c r="CI31" s="3"/>
      <c r="CL31" s="7"/>
      <c r="CM31" s="6"/>
      <c r="CN31" s="6"/>
      <c r="CP31" s="3"/>
      <c r="CQ31" s="3"/>
      <c r="CT31" s="7"/>
      <c r="CU31" s="6"/>
      <c r="CV31" s="6"/>
      <c r="CX31" s="3"/>
      <c r="CY31" s="3"/>
      <c r="DB31" s="7"/>
      <c r="DC31" s="6"/>
      <c r="DD31" s="6"/>
      <c r="DF31" s="3"/>
      <c r="DG31" s="3"/>
      <c r="DJ31" s="7"/>
      <c r="DK31" s="6"/>
      <c r="DL31" s="6"/>
      <c r="DN31" s="3"/>
      <c r="DO31" s="3"/>
      <c r="DR31" s="7"/>
      <c r="DS31" s="6"/>
      <c r="DT31" s="6"/>
      <c r="DV31" s="3"/>
      <c r="DW31" s="3"/>
      <c r="DZ31" s="7"/>
      <c r="EA31" s="6"/>
      <c r="EB31" s="6"/>
      <c r="ED31" s="3"/>
      <c r="EE31" s="3"/>
      <c r="EH31" s="7"/>
      <c r="EI31" s="6"/>
      <c r="EJ31" s="6"/>
      <c r="EL31" s="3"/>
      <c r="EM31" s="3"/>
      <c r="EP31" s="7"/>
      <c r="EQ31" s="6"/>
      <c r="ER31" s="6"/>
      <c r="ET31" s="3"/>
      <c r="EU31" s="3"/>
      <c r="EX31" s="7"/>
      <c r="EY31" s="6"/>
      <c r="EZ31" s="6"/>
      <c r="FB31" s="3"/>
      <c r="FC31" s="3"/>
      <c r="FF31" s="7"/>
      <c r="FG31" s="6"/>
      <c r="FH31" s="6"/>
      <c r="FJ31" s="3"/>
      <c r="FK31" s="3"/>
      <c r="FN31" s="7"/>
      <c r="FO31" s="6"/>
      <c r="FP31" s="6"/>
      <c r="FR31" s="3"/>
      <c r="FS31" s="3"/>
      <c r="FV31" s="7"/>
      <c r="FW31" s="6"/>
      <c r="FX31" s="6"/>
      <c r="FZ31" s="3"/>
      <c r="GA31" s="3"/>
      <c r="GD31" s="7"/>
      <c r="GE31" s="6"/>
      <c r="GF31" s="6"/>
      <c r="GH31" s="3"/>
      <c r="GI31" s="3"/>
      <c r="GL31" s="7"/>
      <c r="GM31" s="6"/>
      <c r="GN31" s="6"/>
      <c r="GP31" s="3"/>
      <c r="GQ31" s="3"/>
      <c r="GT31" s="7"/>
      <c r="GU31" s="6"/>
      <c r="GV31" s="6"/>
      <c r="GX31" s="3"/>
      <c r="GY31" s="3"/>
      <c r="HB31" s="7"/>
      <c r="HC31" s="6"/>
      <c r="HD31" s="6"/>
      <c r="HF31" s="3"/>
      <c r="HG31" s="3"/>
      <c r="HJ31" s="7"/>
      <c r="HK31" s="6"/>
      <c r="HL31" s="6"/>
      <c r="HN31" s="3"/>
      <c r="HO31" s="3"/>
      <c r="HR31" s="7"/>
      <c r="HS31" s="6"/>
      <c r="HT31" s="6"/>
      <c r="HV31" s="3"/>
      <c r="HW31" s="3"/>
      <c r="HZ31" s="7"/>
      <c r="IA31" s="6"/>
      <c r="IB31" s="6"/>
      <c r="ID31" s="3"/>
      <c r="IE31" s="3"/>
      <c r="IH31" s="7"/>
      <c r="II31" s="6"/>
      <c r="IJ31" s="6"/>
      <c r="IL31" s="3"/>
      <c r="IM31" s="3"/>
      <c r="IP31" s="7"/>
      <c r="IQ31" s="6"/>
      <c r="IR31" s="6"/>
      <c r="IT31" s="3"/>
      <c r="IU31" s="3"/>
    </row>
    <row r="32" spans="1:255" x14ac:dyDescent="0.2">
      <c r="A32" s="39"/>
      <c r="B32" s="40"/>
      <c r="C32" s="41"/>
      <c r="D32" s="37"/>
      <c r="E32" s="37"/>
      <c r="F32" s="37"/>
      <c r="G32" s="31"/>
      <c r="H32" s="27"/>
      <c r="I32" s="27"/>
      <c r="J32" s="28"/>
      <c r="K32" s="29"/>
      <c r="L32" s="6"/>
      <c r="N32" s="3"/>
      <c r="O32" s="3"/>
      <c r="R32" s="7"/>
      <c r="S32" s="6"/>
      <c r="T32" s="6"/>
      <c r="V32" s="3"/>
      <c r="W32" s="3"/>
      <c r="Z32" s="7"/>
      <c r="AA32" s="6"/>
      <c r="AB32" s="6"/>
      <c r="AD32" s="3"/>
      <c r="AE32" s="3"/>
      <c r="AH32" s="7"/>
      <c r="AI32" s="6"/>
      <c r="AJ32" s="6"/>
      <c r="AL32" s="3"/>
      <c r="AM32" s="3"/>
      <c r="AP32" s="7"/>
      <c r="AQ32" s="6"/>
      <c r="AR32" s="6"/>
      <c r="AT32" s="3"/>
      <c r="AU32" s="3"/>
      <c r="AX32" s="7"/>
      <c r="AY32" s="6"/>
      <c r="AZ32" s="6"/>
      <c r="BB32" s="3"/>
      <c r="BC32" s="3"/>
      <c r="BF32" s="7"/>
      <c r="BG32" s="6"/>
      <c r="BH32" s="6"/>
      <c r="BJ32" s="3"/>
      <c r="BK32" s="3"/>
      <c r="BN32" s="7"/>
      <c r="BO32" s="6"/>
      <c r="BP32" s="6"/>
      <c r="BR32" s="3"/>
      <c r="BS32" s="3"/>
      <c r="BV32" s="7"/>
      <c r="BW32" s="6"/>
      <c r="BX32" s="6"/>
      <c r="BZ32" s="3"/>
      <c r="CA32" s="3"/>
      <c r="CD32" s="7"/>
      <c r="CE32" s="6"/>
      <c r="CF32" s="6"/>
      <c r="CH32" s="3"/>
      <c r="CI32" s="3"/>
      <c r="CL32" s="7"/>
      <c r="CM32" s="6"/>
      <c r="CN32" s="6"/>
      <c r="CP32" s="3"/>
      <c r="CQ32" s="3"/>
      <c r="CT32" s="7"/>
      <c r="CU32" s="6"/>
      <c r="CV32" s="6"/>
      <c r="CX32" s="3"/>
      <c r="CY32" s="3"/>
      <c r="DB32" s="7"/>
      <c r="DC32" s="6"/>
      <c r="DD32" s="6"/>
      <c r="DF32" s="3"/>
      <c r="DG32" s="3"/>
      <c r="DJ32" s="7"/>
      <c r="DK32" s="6"/>
      <c r="DL32" s="6"/>
      <c r="DN32" s="3"/>
      <c r="DO32" s="3"/>
      <c r="DR32" s="7"/>
      <c r="DS32" s="6"/>
      <c r="DT32" s="6"/>
      <c r="DV32" s="3"/>
      <c r="DW32" s="3"/>
      <c r="DZ32" s="7"/>
      <c r="EA32" s="6"/>
      <c r="EB32" s="6"/>
      <c r="ED32" s="3"/>
      <c r="EE32" s="3"/>
      <c r="EH32" s="7"/>
      <c r="EI32" s="6"/>
      <c r="EJ32" s="6"/>
      <c r="EL32" s="3"/>
      <c r="EM32" s="3"/>
      <c r="EP32" s="7"/>
      <c r="EQ32" s="6"/>
      <c r="ER32" s="6"/>
      <c r="ET32" s="3"/>
      <c r="EU32" s="3"/>
      <c r="EX32" s="7"/>
      <c r="EY32" s="6"/>
      <c r="EZ32" s="6"/>
      <c r="FB32" s="3"/>
      <c r="FC32" s="3"/>
      <c r="FF32" s="7"/>
      <c r="FG32" s="6"/>
      <c r="FH32" s="6"/>
      <c r="FJ32" s="3"/>
      <c r="FK32" s="3"/>
      <c r="FN32" s="7"/>
      <c r="FO32" s="6"/>
      <c r="FP32" s="6"/>
      <c r="FR32" s="3"/>
      <c r="FS32" s="3"/>
      <c r="FV32" s="7"/>
      <c r="FW32" s="6"/>
      <c r="FX32" s="6"/>
      <c r="FZ32" s="3"/>
      <c r="GA32" s="3"/>
      <c r="GD32" s="7"/>
      <c r="GE32" s="6"/>
      <c r="GF32" s="6"/>
      <c r="GH32" s="3"/>
      <c r="GI32" s="3"/>
      <c r="GL32" s="7"/>
      <c r="GM32" s="6"/>
      <c r="GN32" s="6"/>
      <c r="GP32" s="3"/>
      <c r="GQ32" s="3"/>
      <c r="GT32" s="7"/>
      <c r="GU32" s="6"/>
      <c r="GV32" s="6"/>
      <c r="GX32" s="3"/>
      <c r="GY32" s="3"/>
      <c r="HB32" s="7"/>
      <c r="HC32" s="6"/>
      <c r="HD32" s="6"/>
      <c r="HF32" s="3"/>
      <c r="HG32" s="3"/>
      <c r="HJ32" s="7"/>
      <c r="HK32" s="6"/>
      <c r="HL32" s="6"/>
      <c r="HN32" s="3"/>
      <c r="HO32" s="3"/>
      <c r="HR32" s="7"/>
      <c r="HS32" s="6"/>
      <c r="HT32" s="6"/>
      <c r="HV32" s="3"/>
      <c r="HW32" s="3"/>
      <c r="HZ32" s="7"/>
      <c r="IA32" s="6"/>
      <c r="IB32" s="6"/>
      <c r="ID32" s="3"/>
      <c r="IE32" s="3"/>
      <c r="IH32" s="7"/>
      <c r="II32" s="6"/>
      <c r="IJ32" s="6"/>
      <c r="IL32" s="3"/>
      <c r="IM32" s="3"/>
      <c r="IP32" s="7"/>
      <c r="IQ32" s="6"/>
      <c r="IR32" s="6"/>
      <c r="IT32" s="3"/>
      <c r="IU32" s="3"/>
    </row>
    <row r="33" spans="1:11" x14ac:dyDescent="0.2">
      <c r="A33" s="161">
        <v>4</v>
      </c>
      <c r="B33" s="163" t="s">
        <v>26</v>
      </c>
      <c r="C33" s="156">
        <v>-5</v>
      </c>
      <c r="D33" s="162">
        <v>1</v>
      </c>
      <c r="E33" s="162">
        <v>1.4</v>
      </c>
      <c r="F33" s="162">
        <v>0</v>
      </c>
      <c r="G33" s="31"/>
      <c r="H33" s="27"/>
      <c r="I33" s="27"/>
      <c r="J33" s="28"/>
      <c r="K33" s="29"/>
    </row>
    <row r="34" spans="1:11" x14ac:dyDescent="0.2">
      <c r="A34" s="161"/>
      <c r="B34" s="163"/>
      <c r="C34" s="156"/>
      <c r="D34" s="162"/>
      <c r="E34" s="162"/>
      <c r="F34" s="162"/>
      <c r="G34" s="31"/>
      <c r="H34" s="27"/>
      <c r="I34" s="27"/>
      <c r="J34" s="28"/>
      <c r="K34" s="29"/>
    </row>
    <row r="35" spans="1:11" x14ac:dyDescent="0.2">
      <c r="A35" s="36"/>
      <c r="B35" s="35"/>
      <c r="C35" s="38"/>
      <c r="D35" s="31"/>
      <c r="E35" s="31"/>
      <c r="F35" s="31"/>
      <c r="G35" s="31"/>
      <c r="H35" s="27"/>
      <c r="I35" s="27"/>
      <c r="J35" s="28"/>
      <c r="K35" s="29"/>
    </row>
    <row r="36" spans="1:11" x14ac:dyDescent="0.2">
      <c r="A36" s="159">
        <v>5</v>
      </c>
      <c r="B36" s="160" t="s">
        <v>29</v>
      </c>
      <c r="C36" s="158">
        <v>-5</v>
      </c>
      <c r="D36" s="157">
        <v>1</v>
      </c>
      <c r="E36" s="157">
        <v>1.4</v>
      </c>
      <c r="F36" s="157">
        <v>0.4</v>
      </c>
      <c r="G36" s="33"/>
      <c r="H36" s="27"/>
      <c r="I36" s="27"/>
      <c r="J36" s="28"/>
      <c r="K36" s="29"/>
    </row>
    <row r="37" spans="1:11" x14ac:dyDescent="0.2">
      <c r="A37" s="159"/>
      <c r="B37" s="160"/>
      <c r="C37" s="158"/>
      <c r="D37" s="157"/>
      <c r="E37" s="157"/>
      <c r="F37" s="157"/>
      <c r="G37" s="33"/>
      <c r="H37" s="27"/>
      <c r="I37" s="27"/>
      <c r="J37" s="28"/>
      <c r="K37" s="29"/>
    </row>
    <row r="38" spans="1:11" x14ac:dyDescent="0.2">
      <c r="A38" s="39"/>
      <c r="B38" s="40"/>
      <c r="C38" s="41"/>
      <c r="D38" s="37"/>
      <c r="E38" s="37"/>
      <c r="F38" s="37"/>
      <c r="G38" s="33"/>
      <c r="H38" s="27"/>
      <c r="I38" s="27"/>
      <c r="J38" s="28"/>
      <c r="K38" s="29"/>
    </row>
    <row r="39" spans="1:11" x14ac:dyDescent="0.2">
      <c r="A39" s="161">
        <v>6</v>
      </c>
      <c r="B39" s="163" t="s">
        <v>30</v>
      </c>
      <c r="C39" s="156">
        <v>-5</v>
      </c>
      <c r="D39" s="162">
        <v>1</v>
      </c>
      <c r="E39" s="162">
        <v>0.35</v>
      </c>
      <c r="F39" s="162">
        <v>0.98</v>
      </c>
      <c r="G39" s="33"/>
      <c r="H39" s="27"/>
      <c r="I39" s="27"/>
      <c r="J39" s="28"/>
      <c r="K39" s="29"/>
    </row>
    <row r="40" spans="1:11" x14ac:dyDescent="0.2">
      <c r="A40" s="161"/>
      <c r="B40" s="163"/>
      <c r="C40" s="156"/>
      <c r="D40" s="162"/>
      <c r="E40" s="162"/>
      <c r="F40" s="162"/>
      <c r="G40" s="33"/>
      <c r="H40" s="27"/>
      <c r="I40" s="27"/>
      <c r="J40" s="28"/>
      <c r="K40" s="29"/>
    </row>
    <row r="41" spans="1:11" x14ac:dyDescent="0.2">
      <c r="A41" s="36"/>
      <c r="B41" s="35"/>
      <c r="C41" s="38"/>
      <c r="D41" s="31"/>
      <c r="E41" s="31"/>
      <c r="F41" s="31"/>
      <c r="G41" s="33"/>
      <c r="H41" s="27"/>
      <c r="I41" s="27"/>
      <c r="J41" s="28"/>
      <c r="K41" s="29"/>
    </row>
    <row r="42" spans="1:11" x14ac:dyDescent="0.2">
      <c r="A42" s="159">
        <v>7</v>
      </c>
      <c r="B42" s="160" t="s">
        <v>27</v>
      </c>
      <c r="C42" s="158">
        <v>5</v>
      </c>
      <c r="D42" s="157">
        <v>1</v>
      </c>
      <c r="E42" s="157">
        <v>0</v>
      </c>
      <c r="F42" s="157">
        <v>0</v>
      </c>
      <c r="G42" s="31"/>
      <c r="H42" s="27"/>
      <c r="I42" s="27"/>
      <c r="J42" s="28"/>
      <c r="K42" s="29"/>
    </row>
    <row r="43" spans="1:11" x14ac:dyDescent="0.2">
      <c r="A43" s="159"/>
      <c r="B43" s="160"/>
      <c r="C43" s="158"/>
      <c r="D43" s="157"/>
      <c r="E43" s="157"/>
      <c r="F43" s="157"/>
      <c r="G43" s="31"/>
      <c r="H43" s="27"/>
      <c r="I43" s="27"/>
      <c r="J43" s="28"/>
      <c r="K43" s="29"/>
    </row>
    <row r="44" spans="1:11" x14ac:dyDescent="0.2">
      <c r="A44" s="39"/>
      <c r="B44" s="40"/>
      <c r="C44" s="41"/>
      <c r="D44" s="37"/>
      <c r="E44" s="37"/>
      <c r="F44" s="37"/>
      <c r="G44" s="31"/>
      <c r="H44" s="27"/>
      <c r="I44" s="27"/>
      <c r="J44" s="28"/>
      <c r="K44" s="29"/>
    </row>
    <row r="45" spans="1:11" x14ac:dyDescent="0.2">
      <c r="A45" s="161">
        <v>8</v>
      </c>
      <c r="B45" s="163" t="s">
        <v>109</v>
      </c>
      <c r="C45" s="156">
        <v>35</v>
      </c>
      <c r="D45" s="162">
        <v>1</v>
      </c>
      <c r="E45" s="162">
        <v>0</v>
      </c>
      <c r="F45" s="162">
        <v>0</v>
      </c>
      <c r="G45" s="31"/>
      <c r="H45" s="27"/>
      <c r="I45" s="27"/>
      <c r="J45" s="28"/>
      <c r="K45" s="29"/>
    </row>
    <row r="46" spans="1:11" x14ac:dyDescent="0.2">
      <c r="A46" s="161"/>
      <c r="B46" s="163"/>
      <c r="C46" s="156"/>
      <c r="D46" s="162"/>
      <c r="E46" s="162"/>
      <c r="F46" s="162"/>
      <c r="G46" s="31"/>
      <c r="H46" s="27"/>
      <c r="I46" s="27"/>
      <c r="J46" s="28"/>
      <c r="K46" s="29"/>
    </row>
    <row r="47" spans="1:11" x14ac:dyDescent="0.2">
      <c r="A47" s="36"/>
      <c r="B47" s="35"/>
      <c r="C47" s="38"/>
      <c r="D47" s="31"/>
      <c r="E47" s="31"/>
      <c r="F47" s="31"/>
      <c r="G47" s="31"/>
      <c r="H47" s="27"/>
      <c r="I47" s="27"/>
      <c r="J47" s="28"/>
      <c r="K47" s="29"/>
    </row>
    <row r="48" spans="1:11" x14ac:dyDescent="0.2">
      <c r="A48" s="159">
        <v>9</v>
      </c>
      <c r="B48" s="160" t="s">
        <v>28</v>
      </c>
      <c r="C48" s="158">
        <v>15</v>
      </c>
      <c r="D48" s="157">
        <v>1</v>
      </c>
      <c r="E48" s="157">
        <v>0</v>
      </c>
      <c r="F48" s="157">
        <v>0</v>
      </c>
      <c r="G48" s="31"/>
      <c r="H48" s="27"/>
      <c r="I48" s="27"/>
      <c r="J48" s="28"/>
      <c r="K48" s="29"/>
    </row>
    <row r="49" spans="1:11" x14ac:dyDescent="0.2">
      <c r="A49" s="159"/>
      <c r="B49" s="160"/>
      <c r="C49" s="158"/>
      <c r="D49" s="157"/>
      <c r="E49" s="157"/>
      <c r="F49" s="157"/>
      <c r="G49" s="31"/>
      <c r="H49" s="27"/>
      <c r="I49" s="27"/>
      <c r="J49" s="28"/>
      <c r="K49" s="29"/>
    </row>
    <row r="50" spans="1:11" x14ac:dyDescent="0.2">
      <c r="A50" s="39"/>
      <c r="B50" s="40"/>
      <c r="C50" s="41"/>
      <c r="D50" s="37"/>
      <c r="E50" s="37"/>
      <c r="F50" s="37"/>
      <c r="G50" s="31"/>
      <c r="H50" s="27"/>
      <c r="I50" s="27"/>
      <c r="J50" s="28"/>
      <c r="K50" s="29"/>
    </row>
    <row r="51" spans="1:11" x14ac:dyDescent="0.2">
      <c r="A51" s="161">
        <v>10</v>
      </c>
      <c r="B51" s="163" t="s">
        <v>110</v>
      </c>
      <c r="C51" s="156">
        <v>60</v>
      </c>
      <c r="D51" s="162">
        <v>1</v>
      </c>
      <c r="E51" s="162">
        <v>0</v>
      </c>
      <c r="F51" s="162">
        <v>0</v>
      </c>
      <c r="G51" s="31"/>
      <c r="H51" s="27"/>
      <c r="I51" s="27"/>
      <c r="J51" s="28"/>
      <c r="K51" s="29"/>
    </row>
    <row r="52" spans="1:11" x14ac:dyDescent="0.2">
      <c r="A52" s="161"/>
      <c r="B52" s="163"/>
      <c r="C52" s="156"/>
      <c r="D52" s="162"/>
      <c r="E52" s="162"/>
      <c r="F52" s="162"/>
      <c r="G52" s="31"/>
      <c r="H52" s="27"/>
      <c r="I52" s="27"/>
      <c r="J52" s="28"/>
      <c r="K52" s="29"/>
    </row>
    <row r="53" spans="1:11" x14ac:dyDescent="0.2">
      <c r="A53" s="161"/>
      <c r="B53" s="163"/>
      <c r="C53" s="156"/>
      <c r="D53" s="162"/>
      <c r="E53" s="162"/>
      <c r="F53" s="162"/>
      <c r="G53" s="31"/>
      <c r="H53" s="27"/>
      <c r="I53" s="27"/>
      <c r="J53" s="28"/>
      <c r="K53" s="29"/>
    </row>
    <row r="54" spans="1:11" x14ac:dyDescent="0.2">
      <c r="A54" s="159">
        <v>11</v>
      </c>
      <c r="B54" s="160" t="s">
        <v>60</v>
      </c>
      <c r="C54" s="158">
        <v>40</v>
      </c>
      <c r="D54" s="157">
        <v>1</v>
      </c>
      <c r="E54" s="157">
        <v>0</v>
      </c>
      <c r="F54" s="157">
        <v>0</v>
      </c>
      <c r="G54" s="31"/>
      <c r="H54" s="27"/>
      <c r="I54" s="27"/>
      <c r="J54" s="28"/>
      <c r="K54" s="29"/>
    </row>
    <row r="55" spans="1:11" x14ac:dyDescent="0.2">
      <c r="A55" s="159"/>
      <c r="B55" s="160"/>
      <c r="C55" s="158"/>
      <c r="D55" s="157"/>
      <c r="E55" s="157"/>
      <c r="F55" s="157"/>
      <c r="G55" s="31"/>
      <c r="H55" s="27"/>
      <c r="I55" s="27"/>
      <c r="J55" s="28"/>
      <c r="K55" s="29"/>
    </row>
    <row r="56" spans="1:11" x14ac:dyDescent="0.2">
      <c r="A56" s="39"/>
      <c r="B56" s="40"/>
      <c r="C56" s="41"/>
      <c r="D56" s="37"/>
      <c r="E56" s="37"/>
      <c r="F56" s="37"/>
      <c r="G56" s="31"/>
      <c r="H56" s="27"/>
      <c r="I56" s="27"/>
      <c r="J56" s="28"/>
      <c r="K56" s="29"/>
    </row>
    <row r="57" spans="1:11" x14ac:dyDescent="0.2">
      <c r="A57" s="161">
        <v>12</v>
      </c>
      <c r="B57" s="163" t="s">
        <v>61</v>
      </c>
      <c r="C57" s="156">
        <v>80</v>
      </c>
      <c r="D57" s="162">
        <v>1</v>
      </c>
      <c r="E57" s="162">
        <v>0</v>
      </c>
      <c r="F57" s="162">
        <v>0</v>
      </c>
      <c r="G57" s="31"/>
      <c r="H57" s="27"/>
      <c r="I57" s="27"/>
      <c r="J57" s="28"/>
      <c r="K57" s="29"/>
    </row>
    <row r="58" spans="1:11" x14ac:dyDescent="0.2">
      <c r="A58" s="161"/>
      <c r="B58" s="163"/>
      <c r="C58" s="156"/>
      <c r="D58" s="162"/>
      <c r="E58" s="162"/>
      <c r="F58" s="162"/>
      <c r="G58" s="31"/>
      <c r="H58" s="27"/>
      <c r="I58" s="27"/>
      <c r="J58" s="28"/>
      <c r="K58" s="29"/>
    </row>
    <row r="59" spans="1:11" x14ac:dyDescent="0.2">
      <c r="A59" s="36"/>
      <c r="B59" s="35"/>
      <c r="C59" s="38"/>
      <c r="D59" s="31"/>
      <c r="E59" s="31"/>
      <c r="F59" s="31"/>
      <c r="G59" s="31"/>
      <c r="H59" s="27"/>
      <c r="I59" s="27"/>
      <c r="J59" s="28"/>
      <c r="K59" s="29"/>
    </row>
    <row r="60" spans="1:11" x14ac:dyDescent="0.2">
      <c r="A60" s="159">
        <v>13</v>
      </c>
      <c r="B60" s="160"/>
      <c r="C60" s="158"/>
      <c r="D60" s="157"/>
      <c r="E60" s="157"/>
      <c r="F60" s="157"/>
      <c r="G60" s="31"/>
      <c r="H60" s="27"/>
      <c r="I60" s="27"/>
      <c r="J60" s="28"/>
      <c r="K60" s="29"/>
    </row>
    <row r="61" spans="1:11" x14ac:dyDescent="0.2">
      <c r="A61" s="159"/>
      <c r="B61" s="160"/>
      <c r="C61" s="158"/>
      <c r="D61" s="157"/>
      <c r="E61" s="157"/>
      <c r="F61" s="157"/>
      <c r="G61" s="31"/>
      <c r="H61" s="27"/>
      <c r="I61" s="27"/>
      <c r="J61" s="28"/>
      <c r="K61" s="29"/>
    </row>
    <row r="62" spans="1:11" x14ac:dyDescent="0.2">
      <c r="A62" s="39"/>
      <c r="B62" s="40"/>
      <c r="C62" s="41"/>
      <c r="D62" s="37"/>
      <c r="E62" s="37"/>
      <c r="F62" s="37"/>
      <c r="G62" s="31"/>
      <c r="H62" s="27"/>
      <c r="I62" s="27"/>
      <c r="J62" s="28"/>
      <c r="K62" s="29"/>
    </row>
    <row r="63" spans="1:11" x14ac:dyDescent="0.2">
      <c r="A63" s="161">
        <v>14</v>
      </c>
      <c r="B63" s="163"/>
      <c r="C63" s="156"/>
      <c r="D63" s="162"/>
      <c r="E63" s="162"/>
      <c r="F63" s="162"/>
      <c r="G63" s="31"/>
      <c r="H63" s="27"/>
      <c r="I63" s="27"/>
      <c r="J63" s="28"/>
      <c r="K63" s="29"/>
    </row>
    <row r="64" spans="1:11" x14ac:dyDescent="0.2">
      <c r="A64" s="161"/>
      <c r="B64" s="163"/>
      <c r="C64" s="156"/>
      <c r="D64" s="162"/>
      <c r="E64" s="162"/>
      <c r="F64" s="162"/>
      <c r="G64" s="31"/>
      <c r="H64" s="27"/>
      <c r="I64" s="27"/>
      <c r="J64" s="28"/>
      <c r="K64" s="29"/>
    </row>
    <row r="65" spans="1:11" x14ac:dyDescent="0.2">
      <c r="A65" s="36"/>
      <c r="B65" s="35"/>
      <c r="C65" s="38"/>
      <c r="D65" s="31"/>
      <c r="E65" s="31"/>
      <c r="F65" s="31"/>
      <c r="G65" s="31"/>
      <c r="H65" s="27"/>
      <c r="I65" s="27"/>
      <c r="J65" s="28"/>
      <c r="K65" s="29"/>
    </row>
    <row r="66" spans="1:11" x14ac:dyDescent="0.2">
      <c r="A66" s="159">
        <v>15</v>
      </c>
      <c r="B66" s="160"/>
      <c r="C66" s="158"/>
      <c r="D66" s="157"/>
      <c r="E66" s="157"/>
      <c r="F66" s="157"/>
      <c r="G66" s="31"/>
      <c r="H66" s="27"/>
      <c r="I66" s="27"/>
      <c r="J66" s="28"/>
      <c r="K66" s="29"/>
    </row>
    <row r="67" spans="1:11" x14ac:dyDescent="0.2">
      <c r="A67" s="159"/>
      <c r="B67" s="160"/>
      <c r="C67" s="158"/>
      <c r="D67" s="157"/>
      <c r="E67" s="157"/>
      <c r="F67" s="157"/>
      <c r="G67" s="31"/>
      <c r="H67" s="27"/>
      <c r="I67" s="27"/>
      <c r="J67" s="28"/>
      <c r="K67" s="29"/>
    </row>
    <row r="68" spans="1:11" x14ac:dyDescent="0.2">
      <c r="A68" s="39"/>
      <c r="B68" s="40"/>
      <c r="C68" s="41"/>
      <c r="D68" s="37"/>
      <c r="E68" s="37"/>
      <c r="F68" s="37"/>
      <c r="G68" s="31"/>
      <c r="H68" s="27"/>
      <c r="I68" s="27"/>
      <c r="J68" s="28"/>
      <c r="K68" s="29"/>
    </row>
    <row r="69" spans="1:11" x14ac:dyDescent="0.2">
      <c r="A69" s="161">
        <v>16</v>
      </c>
      <c r="B69" s="163"/>
      <c r="C69" s="156"/>
      <c r="D69" s="162"/>
      <c r="E69" s="162"/>
      <c r="F69" s="162"/>
      <c r="G69" s="31"/>
      <c r="H69" s="27"/>
      <c r="I69" s="27"/>
      <c r="J69" s="28"/>
      <c r="K69" s="29"/>
    </row>
    <row r="70" spans="1:11" x14ac:dyDescent="0.2">
      <c r="A70" s="161"/>
      <c r="B70" s="163"/>
      <c r="C70" s="156"/>
      <c r="D70" s="162"/>
      <c r="E70" s="162"/>
      <c r="F70" s="162"/>
      <c r="G70" s="31"/>
      <c r="H70" s="27"/>
      <c r="I70" s="27"/>
      <c r="J70" s="28"/>
      <c r="K70" s="29"/>
    </row>
    <row r="71" spans="1:11" x14ac:dyDescent="0.2">
      <c r="A71" s="36"/>
      <c r="B71" s="35"/>
      <c r="C71" s="38"/>
      <c r="D71" s="31"/>
      <c r="E71" s="31"/>
      <c r="F71" s="31"/>
      <c r="G71" s="31"/>
      <c r="H71" s="27"/>
      <c r="I71" s="27"/>
      <c r="J71" s="28"/>
      <c r="K71" s="29"/>
    </row>
    <row r="72" spans="1:11" x14ac:dyDescent="0.2">
      <c r="A72" s="159">
        <v>17</v>
      </c>
      <c r="B72" s="160"/>
      <c r="C72" s="158"/>
      <c r="D72" s="157"/>
      <c r="E72" s="157"/>
      <c r="F72" s="157"/>
      <c r="G72" s="31"/>
      <c r="H72" s="27"/>
      <c r="I72" s="27"/>
      <c r="J72" s="28"/>
      <c r="K72" s="29"/>
    </row>
    <row r="73" spans="1:11" x14ac:dyDescent="0.2">
      <c r="A73" s="159"/>
      <c r="B73" s="160"/>
      <c r="C73" s="158"/>
      <c r="D73" s="157"/>
      <c r="E73" s="157"/>
      <c r="F73" s="157"/>
      <c r="G73" s="31"/>
      <c r="H73" s="27"/>
      <c r="I73" s="27"/>
      <c r="J73" s="28"/>
      <c r="K73" s="29"/>
    </row>
    <row r="74" spans="1:11" x14ac:dyDescent="0.2">
      <c r="A74" s="39"/>
      <c r="B74" s="40"/>
      <c r="C74" s="41"/>
      <c r="D74" s="37"/>
      <c r="E74" s="37"/>
      <c r="F74" s="37"/>
      <c r="G74" s="31"/>
      <c r="H74" s="27"/>
      <c r="I74" s="27"/>
      <c r="J74" s="28"/>
      <c r="K74" s="29"/>
    </row>
    <row r="75" spans="1:11" ht="12" customHeight="1" x14ac:dyDescent="0.2">
      <c r="A75" s="161">
        <v>18</v>
      </c>
      <c r="B75" s="163"/>
      <c r="C75" s="156"/>
      <c r="D75" s="162"/>
      <c r="E75" s="162"/>
      <c r="F75" s="162"/>
      <c r="G75" s="31"/>
      <c r="H75" s="27"/>
      <c r="I75" s="27"/>
      <c r="J75" s="28"/>
      <c r="K75" s="29"/>
    </row>
    <row r="76" spans="1:11" ht="12" customHeight="1" x14ac:dyDescent="0.2">
      <c r="A76" s="161"/>
      <c r="B76" s="163"/>
      <c r="C76" s="156"/>
      <c r="D76" s="162"/>
      <c r="E76" s="162"/>
      <c r="F76" s="162"/>
      <c r="G76" s="31"/>
      <c r="H76" s="27"/>
      <c r="I76" s="27"/>
      <c r="J76" s="28"/>
      <c r="K76" s="29"/>
    </row>
    <row r="77" spans="1:11" ht="12" customHeight="1" x14ac:dyDescent="0.2">
      <c r="A77" s="36"/>
      <c r="B77" s="35"/>
      <c r="C77" s="38"/>
      <c r="D77" s="31"/>
      <c r="E77" s="31"/>
      <c r="F77" s="31"/>
      <c r="G77" s="31"/>
      <c r="H77" s="27"/>
      <c r="I77" s="27"/>
      <c r="J77" s="28"/>
      <c r="K77" s="29"/>
    </row>
    <row r="78" spans="1:11" x14ac:dyDescent="0.2">
      <c r="A78" s="159">
        <v>19</v>
      </c>
      <c r="B78" s="160"/>
      <c r="C78" s="158"/>
      <c r="D78" s="157"/>
      <c r="E78" s="157"/>
      <c r="F78" s="157"/>
      <c r="G78" s="31"/>
      <c r="H78" s="27"/>
      <c r="I78" s="27"/>
      <c r="J78" s="28"/>
      <c r="K78" s="29"/>
    </row>
    <row r="79" spans="1:11" x14ac:dyDescent="0.2">
      <c r="A79" s="159"/>
      <c r="B79" s="160"/>
      <c r="C79" s="158"/>
      <c r="D79" s="157"/>
      <c r="E79" s="157"/>
      <c r="F79" s="157"/>
      <c r="G79" s="31"/>
      <c r="H79" s="27"/>
      <c r="I79" s="27"/>
      <c r="J79" s="28"/>
      <c r="K79" s="29"/>
    </row>
    <row r="80" spans="1:11" x14ac:dyDescent="0.2">
      <c r="A80" s="39"/>
      <c r="B80" s="40"/>
      <c r="C80" s="41"/>
      <c r="D80" s="37"/>
      <c r="E80" s="37"/>
      <c r="F80" s="37"/>
      <c r="G80" s="31"/>
      <c r="H80" s="27"/>
      <c r="I80" s="27"/>
      <c r="J80" s="28"/>
      <c r="K80" s="29"/>
    </row>
    <row r="81" spans="1:11" x14ac:dyDescent="0.2">
      <c r="A81" s="161">
        <v>20</v>
      </c>
      <c r="B81" s="163"/>
      <c r="C81" s="156"/>
      <c r="D81" s="162"/>
      <c r="E81" s="162"/>
      <c r="F81" s="162"/>
      <c r="G81" s="31"/>
      <c r="H81" s="27"/>
      <c r="I81" s="27"/>
      <c r="J81" s="28"/>
      <c r="K81" s="29"/>
    </row>
    <row r="82" spans="1:11" x14ac:dyDescent="0.2">
      <c r="A82" s="161"/>
      <c r="B82" s="163"/>
      <c r="C82" s="156"/>
      <c r="D82" s="162"/>
      <c r="E82" s="162"/>
      <c r="F82" s="162"/>
      <c r="G82" s="31"/>
      <c r="H82" s="27"/>
      <c r="I82" s="27"/>
      <c r="J82" s="28"/>
      <c r="K82" s="29"/>
    </row>
  </sheetData>
  <mergeCells count="121">
    <mergeCell ref="A78:A79"/>
    <mergeCell ref="B78:B79"/>
    <mergeCell ref="C78:C79"/>
    <mergeCell ref="D78:D79"/>
    <mergeCell ref="E78:E79"/>
    <mergeCell ref="F78:F79"/>
    <mergeCell ref="F81:F82"/>
    <mergeCell ref="C81:C82"/>
    <mergeCell ref="A81:A82"/>
    <mergeCell ref="B81:B82"/>
    <mergeCell ref="D81:D82"/>
    <mergeCell ref="E81:E82"/>
    <mergeCell ref="F69:F70"/>
    <mergeCell ref="E72:E73"/>
    <mergeCell ref="F72:F73"/>
    <mergeCell ref="A75:A76"/>
    <mergeCell ref="B75:B76"/>
    <mergeCell ref="D75:D76"/>
    <mergeCell ref="E75:E76"/>
    <mergeCell ref="F75:F76"/>
    <mergeCell ref="A72:A73"/>
    <mergeCell ref="B72:B73"/>
    <mergeCell ref="C75:C76"/>
    <mergeCell ref="C72:C73"/>
    <mergeCell ref="D72:D73"/>
    <mergeCell ref="C69:C70"/>
    <mergeCell ref="E63:E64"/>
    <mergeCell ref="C60:C61"/>
    <mergeCell ref="D60:D61"/>
    <mergeCell ref="A69:A70"/>
    <mergeCell ref="B69:B70"/>
    <mergeCell ref="D69:D70"/>
    <mergeCell ref="A66:A67"/>
    <mergeCell ref="B66:B67"/>
    <mergeCell ref="C66:C67"/>
    <mergeCell ref="E66:E67"/>
    <mergeCell ref="E69:E70"/>
    <mergeCell ref="D66:D67"/>
    <mergeCell ref="F66:F67"/>
    <mergeCell ref="A54:A55"/>
    <mergeCell ref="C54:C55"/>
    <mergeCell ref="D54:D55"/>
    <mergeCell ref="E54:E55"/>
    <mergeCell ref="E48:E49"/>
    <mergeCell ref="B54:B55"/>
    <mergeCell ref="D63:D64"/>
    <mergeCell ref="E60:E61"/>
    <mergeCell ref="F60:F61"/>
    <mergeCell ref="C57:C58"/>
    <mergeCell ref="A57:A58"/>
    <mergeCell ref="B57:B58"/>
    <mergeCell ref="D57:D58"/>
    <mergeCell ref="F48:F49"/>
    <mergeCell ref="F54:F55"/>
    <mergeCell ref="E57:E58"/>
    <mergeCell ref="F57:F58"/>
    <mergeCell ref="F63:F64"/>
    <mergeCell ref="A60:A61"/>
    <mergeCell ref="B60:B61"/>
    <mergeCell ref="C63:C64"/>
    <mergeCell ref="A63:A64"/>
    <mergeCell ref="B63:B64"/>
    <mergeCell ref="E45:E46"/>
    <mergeCell ref="F51:F53"/>
    <mergeCell ref="A48:A49"/>
    <mergeCell ref="B48:B49"/>
    <mergeCell ref="C51:C53"/>
    <mergeCell ref="A51:A53"/>
    <mergeCell ref="B51:B53"/>
    <mergeCell ref="D51:D53"/>
    <mergeCell ref="C45:C46"/>
    <mergeCell ref="E51:E53"/>
    <mergeCell ref="C48:C49"/>
    <mergeCell ref="D48:D49"/>
    <mergeCell ref="A45:A46"/>
    <mergeCell ref="B45:B46"/>
    <mergeCell ref="D45:D46"/>
    <mergeCell ref="E42:E43"/>
    <mergeCell ref="F42:F43"/>
    <mergeCell ref="F45:F46"/>
    <mergeCell ref="A42:A43"/>
    <mergeCell ref="B42:B43"/>
    <mergeCell ref="C42:C43"/>
    <mergeCell ref="D42:D43"/>
    <mergeCell ref="A1:I1"/>
    <mergeCell ref="A30:A31"/>
    <mergeCell ref="B30:B31"/>
    <mergeCell ref="C30:C31"/>
    <mergeCell ref="D30:D31"/>
    <mergeCell ref="E30:E31"/>
    <mergeCell ref="D39:D40"/>
    <mergeCell ref="C39:C40"/>
    <mergeCell ref="B27:B28"/>
    <mergeCell ref="D27:D28"/>
    <mergeCell ref="E27:E28"/>
    <mergeCell ref="C33:C34"/>
    <mergeCell ref="E39:E40"/>
    <mergeCell ref="F39:F40"/>
    <mergeCell ref="A39:A40"/>
    <mergeCell ref="B39:B40"/>
    <mergeCell ref="F27:F28"/>
    <mergeCell ref="C27:C28"/>
    <mergeCell ref="F30:F31"/>
    <mergeCell ref="D36:D37"/>
    <mergeCell ref="E36:E37"/>
    <mergeCell ref="F36:F37"/>
    <mergeCell ref="C36:C37"/>
    <mergeCell ref="A36:A37"/>
    <mergeCell ref="B36:B37"/>
    <mergeCell ref="E24:E25"/>
    <mergeCell ref="F24:F25"/>
    <mergeCell ref="A27:A28"/>
    <mergeCell ref="F33:F34"/>
    <mergeCell ref="B33:B34"/>
    <mergeCell ref="D33:D34"/>
    <mergeCell ref="A33:A34"/>
    <mergeCell ref="E33:E34"/>
    <mergeCell ref="A24:A25"/>
    <mergeCell ref="B24:B25"/>
    <mergeCell ref="C24:C25"/>
    <mergeCell ref="D24:D2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127"/>
  <sheetViews>
    <sheetView tabSelected="1" zoomScaleNormal="100" workbookViewId="0">
      <selection activeCell="R115" sqref="R115"/>
    </sheetView>
  </sheetViews>
  <sheetFormatPr defaultRowHeight="12.75" x14ac:dyDescent="0.2"/>
  <cols>
    <col min="1" max="1" width="3.85546875" customWidth="1"/>
    <col min="2" max="2" width="10.7109375" style="110" customWidth="1"/>
    <col min="3" max="3" width="7.5703125" style="50" customWidth="1"/>
    <col min="4" max="4" width="8.42578125" customWidth="1"/>
    <col min="5" max="14" width="5.7109375" customWidth="1"/>
    <col min="15" max="15" width="12" style="126" customWidth="1"/>
    <col min="16" max="16" width="7" style="129" customWidth="1"/>
    <col min="17" max="17" width="7" style="139" customWidth="1"/>
    <col min="18" max="18" width="11.42578125" style="130" customWidth="1"/>
    <col min="19" max="19" width="9.140625" style="132" customWidth="1"/>
    <col min="20" max="20" width="17.5703125" style="132" customWidth="1"/>
    <col min="21" max="22" width="10.42578125" style="132" customWidth="1"/>
    <col min="23" max="23" width="10.5703125" style="132" customWidth="1"/>
    <col min="24" max="25" width="10.42578125" style="132" customWidth="1"/>
    <col min="26" max="26" width="12.140625" style="131" customWidth="1"/>
    <col min="27" max="27" width="10.42578125" customWidth="1"/>
  </cols>
  <sheetData>
    <row r="1" spans="1:29" ht="32.25" customHeight="1" x14ac:dyDescent="0.2">
      <c r="A1" s="166"/>
      <c r="B1" s="191"/>
      <c r="C1" s="192"/>
      <c r="D1" s="170" t="str">
        <f>Köide</f>
        <v>330/110kV Tartu-Sindi õhuliini ehitus
II ehitusetapp, Puhja - Viljandi</v>
      </c>
      <c r="E1" s="170"/>
      <c r="F1" s="170"/>
      <c r="G1" s="170"/>
      <c r="H1" s="170"/>
      <c r="I1" s="170"/>
      <c r="J1" s="170"/>
      <c r="K1" s="170"/>
      <c r="L1" s="170"/>
      <c r="M1" s="193" t="s">
        <v>238</v>
      </c>
      <c r="N1" s="193"/>
      <c r="O1" s="194"/>
      <c r="R1" s="130" t="s">
        <v>200</v>
      </c>
      <c r="S1" s="131" t="s">
        <v>198</v>
      </c>
    </row>
    <row r="2" spans="1:29" ht="27" customHeight="1" thickBot="1" x14ac:dyDescent="0.25">
      <c r="A2" s="168"/>
      <c r="B2" s="169"/>
      <c r="C2" s="195"/>
      <c r="D2" s="171" t="s">
        <v>84</v>
      </c>
      <c r="E2" s="171"/>
      <c r="F2" s="171"/>
      <c r="G2" s="171"/>
      <c r="H2" s="171"/>
      <c r="I2" s="171"/>
      <c r="J2" s="171"/>
      <c r="K2" s="171"/>
      <c r="L2" s="171"/>
      <c r="M2" s="196"/>
      <c r="N2" s="196"/>
      <c r="O2" s="197"/>
      <c r="V2" s="211" t="s">
        <v>77</v>
      </c>
      <c r="W2" s="211"/>
      <c r="X2" s="211"/>
      <c r="Y2" s="211"/>
    </row>
    <row r="3" spans="1:29" ht="45" customHeight="1" x14ac:dyDescent="0.2">
      <c r="A3" s="34" t="s">
        <v>33</v>
      </c>
      <c r="B3" s="109" t="s">
        <v>126</v>
      </c>
      <c r="C3" s="137" t="s">
        <v>129</v>
      </c>
      <c r="D3" s="198" t="s">
        <v>37</v>
      </c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122" t="s">
        <v>34</v>
      </c>
      <c r="Q3" s="140" t="s">
        <v>199</v>
      </c>
      <c r="R3" s="104" t="s">
        <v>76</v>
      </c>
      <c r="S3" s="133" t="s">
        <v>128</v>
      </c>
      <c r="T3" s="102" t="s">
        <v>54</v>
      </c>
      <c r="U3" s="132" t="s">
        <v>27</v>
      </c>
      <c r="V3" s="102" t="s">
        <v>10</v>
      </c>
      <c r="W3" s="102" t="s">
        <v>21</v>
      </c>
      <c r="X3" s="102" t="s">
        <v>127</v>
      </c>
      <c r="Y3" s="102" t="s">
        <v>22</v>
      </c>
      <c r="Z3" s="100" t="s">
        <v>81</v>
      </c>
    </row>
    <row r="4" spans="1:29" x14ac:dyDescent="0.2">
      <c r="A4" s="63"/>
      <c r="B4" s="64" t="s">
        <v>7</v>
      </c>
      <c r="C4" s="138" t="s">
        <v>8</v>
      </c>
      <c r="D4" s="66"/>
      <c r="E4" s="67">
        <v>-20</v>
      </c>
      <c r="F4" s="67">
        <v>-15</v>
      </c>
      <c r="G4" s="67">
        <v>-10</v>
      </c>
      <c r="H4" s="67">
        <v>-5</v>
      </c>
      <c r="I4" s="67">
        <v>0</v>
      </c>
      <c r="J4" s="67">
        <v>5</v>
      </c>
      <c r="K4" s="67">
        <v>10</v>
      </c>
      <c r="L4" s="67">
        <v>15</v>
      </c>
      <c r="M4" s="67">
        <v>20</v>
      </c>
      <c r="N4" s="67">
        <v>25</v>
      </c>
      <c r="O4" s="123" t="s">
        <v>36</v>
      </c>
      <c r="R4" s="130">
        <v>3</v>
      </c>
      <c r="S4" s="132">
        <v>4</v>
      </c>
      <c r="T4" s="132">
        <v>5</v>
      </c>
      <c r="U4" s="132">
        <v>8</v>
      </c>
      <c r="V4" s="132">
        <v>17</v>
      </c>
      <c r="W4" s="132">
        <v>18</v>
      </c>
      <c r="X4" s="132">
        <v>19</v>
      </c>
      <c r="Y4" s="132">
        <v>20</v>
      </c>
    </row>
    <row r="5" spans="1:29" ht="17.25" customHeight="1" x14ac:dyDescent="0.2">
      <c r="A5" s="201" t="str">
        <f ca="1">CONCATENATE( "Tross ",Z7,"x(",T7,")")</f>
        <v>Tross 1x(OPGW-2S 2/48B1 (0/93-55.3))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3"/>
    </row>
    <row r="6" spans="1:29" s="115" customFormat="1" hidden="1" x14ac:dyDescent="0.2">
      <c r="A6" s="204">
        <v>1</v>
      </c>
      <c r="B6" s="205" t="str">
        <f ca="1">R7</f>
        <v>103Y- 109Y</v>
      </c>
      <c r="C6" s="208">
        <f ca="1">S7</f>
        <v>447.20458836298803</v>
      </c>
      <c r="D6" s="115" t="s">
        <v>130</v>
      </c>
      <c r="E6" s="115">
        <f ca="1">[1]!Olekuvorrand($C6,$T7,$Y7,$X7,$W7,E$4,[1]!juhe($T7,6),TRUE)</f>
        <v>134.9378228187561</v>
      </c>
      <c r="F6" s="115">
        <f ca="1">[1]!Olekuvorrand($C6,$T7,$Y7,$X7,$W7,F$4,[1]!juhe($T7,6),TRUE)</f>
        <v>134.73623991012573</v>
      </c>
      <c r="G6" s="115">
        <f ca="1">[1]!Olekuvorrand($C6,$T7,$Y7,$X7,$W7,G$4,[1]!juhe($T7,6),TRUE)</f>
        <v>134.53537225723267</v>
      </c>
      <c r="H6" s="115">
        <f ca="1">[1]!Olekuvorrand($C6,$T7,$Y7,$X7,$W7,H$4,[1]!juhe($T7,6),TRUE)</f>
        <v>134.3352198600769</v>
      </c>
      <c r="I6" s="115">
        <f ca="1">[1]!Olekuvorrand($C6,$T7,$Y7,$X7,$W7,I$4,[1]!juhe($T7,6),TRUE)</f>
        <v>134.13578271865845</v>
      </c>
      <c r="J6" s="115">
        <f ca="1">[1]!Olekuvorrand($C6,$T7,$Y7,$X7,$W7,J$4,[1]!juhe($T7,6),TRUE)</f>
        <v>133.93706083297729</v>
      </c>
      <c r="K6" s="115">
        <f ca="1">[1]!Olekuvorrand($C6,$T7,$Y7,$X7,$W7,K$4,[1]!juhe($T7,6),TRUE)</f>
        <v>133.7389349937439</v>
      </c>
      <c r="L6" s="115">
        <f ca="1">[1]!Olekuvorrand($C6,$T7,$Y7,$X7,$W7,L$4,[1]!juhe($T7,6),TRUE)</f>
        <v>133.54164361953735</v>
      </c>
      <c r="M6" s="115">
        <f ca="1">[1]!Olekuvorrand($C6,$T7,$Y7,$X7,$W7,M$4,[1]!juhe($T7,6),TRUE)</f>
        <v>133.34494829177856</v>
      </c>
      <c r="N6" s="115">
        <f ca="1">[1]!Olekuvorrand($C6,$T7,$Y7,$X7,$W7,N$4,[1]!juhe($T7,6),TRUE)</f>
        <v>133.14896821975708</v>
      </c>
      <c r="O6" s="206">
        <f ca="1">U7</f>
        <v>133.93706083297729</v>
      </c>
      <c r="P6" s="134"/>
      <c r="Q6" s="141"/>
      <c r="R6" s="135"/>
      <c r="S6" s="135"/>
      <c r="T6" s="135"/>
      <c r="U6" s="135"/>
      <c r="V6" s="135"/>
      <c r="W6" s="135"/>
      <c r="X6" s="135"/>
      <c r="Y6" s="135"/>
      <c r="Z6" s="135"/>
      <c r="AA6" s="127"/>
    </row>
    <row r="7" spans="1:29" s="115" customFormat="1" x14ac:dyDescent="0.2">
      <c r="A7" s="204"/>
      <c r="B7" s="205"/>
      <c r="C7" s="208"/>
      <c r="D7" s="115" t="s">
        <v>32</v>
      </c>
      <c r="E7" s="115">
        <f ca="1">E6*[1]!juhe($T7,2)/10</f>
        <v>1258.9698868989944</v>
      </c>
      <c r="F7" s="115">
        <f ca="1">F6*[1]!juhe($T7,2)/10</f>
        <v>1257.0891183614731</v>
      </c>
      <c r="G7" s="115">
        <f ca="1">G6*[1]!juhe($T7,2)/10</f>
        <v>1255.2150231599808</v>
      </c>
      <c r="H7" s="115">
        <f ca="1">H6*[1]!juhe($T7,2)/10</f>
        <v>1253.3476012945175</v>
      </c>
      <c r="I7" s="115">
        <f ca="1">I6*[1]!juhe($T7,2)/10</f>
        <v>1251.4868527650833</v>
      </c>
      <c r="J7" s="115">
        <f ca="1">J6*[1]!juhe($T7,2)/10</f>
        <v>1249.6327775716782</v>
      </c>
      <c r="K7" s="115">
        <f ca="1">K6*[1]!juhe($T7,2)/10</f>
        <v>1247.7842634916306</v>
      </c>
      <c r="L7" s="115">
        <f ca="1">L6*[1]!juhe($T7,2)/10</f>
        <v>1245.9435349702835</v>
      </c>
      <c r="M7" s="115">
        <f ca="1">M6*[1]!juhe($T7,2)/10</f>
        <v>1244.108367562294</v>
      </c>
      <c r="N7" s="115">
        <f ca="1">N6*[1]!juhe($T7,2)/10</f>
        <v>1242.2798734903336</v>
      </c>
      <c r="O7" s="206"/>
      <c r="P7" s="134"/>
      <c r="Q7" s="141" t="s">
        <v>197</v>
      </c>
      <c r="R7" s="129" t="str">
        <f t="shared" ref="R7:Y7" ca="1" si="0">INDIRECT("'"&amp;$S$1&amp;"'!"&amp;$Q7&amp;R$4)</f>
        <v>103Y- 109Y</v>
      </c>
      <c r="S7" s="129">
        <f t="shared" ca="1" si="0"/>
        <v>447.20458836298803</v>
      </c>
      <c r="T7" s="129" t="str">
        <f t="shared" ca="1" si="0"/>
        <v>OPGW-2S 2/48B1 (0/93-55.3)</v>
      </c>
      <c r="U7" s="129">
        <f t="shared" ca="1" si="0"/>
        <v>133.93706083297729</v>
      </c>
      <c r="V7" s="129">
        <f t="shared" ca="1" si="0"/>
        <v>5</v>
      </c>
      <c r="W7" s="129">
        <f t="shared" ca="1" si="0"/>
        <v>0.22223501452771374</v>
      </c>
      <c r="X7" s="129">
        <f t="shared" ca="1" si="0"/>
        <v>-5</v>
      </c>
      <c r="Y7" s="129">
        <f t="shared" ca="1" si="0"/>
        <v>350.29011964797974</v>
      </c>
      <c r="Z7" s="129">
        <v>1</v>
      </c>
      <c r="AA7" s="127"/>
    </row>
    <row r="8" spans="1:29" s="115" customFormat="1" x14ac:dyDescent="0.2">
      <c r="A8" s="204"/>
      <c r="B8" s="205"/>
      <c r="C8" s="208"/>
      <c r="D8" s="115" t="s">
        <v>31</v>
      </c>
      <c r="E8" s="115">
        <f ca="1">[1]!ripe([1]!Olekuvorrand($C6,$T7,$Y7,$X7,$W7,E$4,[1]!juhe($T7,6),TRUE),[1]!juhe($T7,6),$C6,0)</f>
        <v>11.578940794453668</v>
      </c>
      <c r="F8" s="115">
        <f ca="1">[1]!ripe([1]!Olekuvorrand($C6,$T7,$Y7,$X7,$W7,F$4,[1]!juhe($T7,6),TRUE),[1]!juhe($T7,6),$C6,0)</f>
        <v>11.596264393255014</v>
      </c>
      <c r="G8" s="115">
        <f ca="1">[1]!ripe([1]!Olekuvorrand($C6,$T7,$Y7,$X7,$W7,G$4,[1]!juhe($T7,6),TRUE),[1]!juhe($T7,6),$C6,0)</f>
        <v>11.613578162652008</v>
      </c>
      <c r="H8" s="115">
        <f ca="1">[1]!ripe([1]!Olekuvorrand($C6,$T7,$Y7,$X7,$W7,H$4,[1]!juhe($T7,6),TRUE),[1]!juhe($T7,6),$C6,0)</f>
        <v>11.63088178199496</v>
      </c>
      <c r="I8" s="115">
        <f ca="1">[1]!ripe([1]!Olekuvorrand($C6,$T7,$Y7,$X7,$W7,I$4,[1]!juhe($T7,6),TRUE),[1]!juhe($T7,6),$C6,0)</f>
        <v>11.648174929041653</v>
      </c>
      <c r="J8" s="115">
        <f ca="1">[1]!ripe([1]!Olekuvorrand($C6,$T7,$Y7,$X7,$W7,J$4,[1]!juhe($T7,6),TRUE),[1]!juhe($T7,6),$C6,0)</f>
        <v>11.665457279962656</v>
      </c>
      <c r="K8" s="115">
        <f ca="1">[1]!ripe([1]!Olekuvorrand($C6,$T7,$Y7,$X7,$W7,K$4,[1]!juhe($T7,6),TRUE),[1]!juhe($T7,6),$C6,0)</f>
        <v>11.682738922842061</v>
      </c>
      <c r="L8" s="115">
        <f ca="1">[1]!ripe([1]!Olekuvorrand($C6,$T7,$Y7,$X7,$W7,L$4,[1]!juhe($T7,6),TRUE),[1]!juhe($T7,6),$C6,0)</f>
        <v>11.699998734494152</v>
      </c>
      <c r="M8" s="115">
        <f ca="1">[1]!ripe([1]!Olekuvorrand($C6,$T7,$Y7,$X7,$W7,M$4,[1]!juhe($T7,6),TRUE),[1]!juhe($T7,6),$C6,0)</f>
        <v>11.717257244211543</v>
      </c>
      <c r="N8" s="115">
        <f ca="1">[1]!ripe([1]!Olekuvorrand($C6,$T7,$Y7,$X7,$W7,N$4,[1]!juhe($T7,6),TRUE),[1]!juhe($T7,6),$C6,0)</f>
        <v>11.734503708448688</v>
      </c>
      <c r="O8" s="206"/>
      <c r="P8" s="134"/>
      <c r="Q8" s="141"/>
      <c r="R8" s="129"/>
      <c r="S8" s="129"/>
      <c r="T8" s="129"/>
      <c r="U8" s="129"/>
      <c r="V8" s="129"/>
      <c r="W8" s="129"/>
      <c r="X8" s="129"/>
      <c r="Y8" s="129"/>
      <c r="Z8" s="129"/>
      <c r="AA8" s="127"/>
    </row>
    <row r="9" spans="1:29" s="115" customFormat="1" x14ac:dyDescent="0.2">
      <c r="A9" s="204"/>
      <c r="B9" s="205"/>
      <c r="C9" s="208"/>
      <c r="D9" s="115" t="s">
        <v>195</v>
      </c>
      <c r="E9" s="115">
        <f ca="1">[1]!ripe([1]!Olekuvorrand($C6,$T7,$Y7,$X7,$W7,E$4,[1]!juhe($T7,6)),[1]!juhe($T7,6),$C6,0)</f>
        <v>11.578940794453668</v>
      </c>
      <c r="F9" s="115">
        <f ca="1">[1]!ripe([1]!Olekuvorrand($C6,$T7,$Y7,$X7,$W7,F$4,[1]!juhe($T7,6)),[1]!juhe($T7,6),$C6,0)</f>
        <v>11.596264393255014</v>
      </c>
      <c r="G9" s="115">
        <f ca="1">[1]!ripe([1]!Olekuvorrand($C6,$T7,$Y7,$X7,$W7,G$4,[1]!juhe($T7,6)),[1]!juhe($T7,6),$C6,0)</f>
        <v>11.613578162652008</v>
      </c>
      <c r="H9" s="115">
        <f ca="1">[1]!ripe([1]!Olekuvorrand($C6,$T7,$Y7,$X7,$W7,H$4,[1]!juhe($T7,6)),[1]!juhe($T7,6),$C6,0)</f>
        <v>11.63088178199496</v>
      </c>
      <c r="I9" s="115">
        <f ca="1">[1]!ripe([1]!Olekuvorrand($C6,$T7,$Y7,$X7,$W7,I$4,[1]!juhe($T7,6)),[1]!juhe($T7,6),$C6,0)</f>
        <v>11.648174929041653</v>
      </c>
      <c r="J9" s="115">
        <f ca="1">[1]!ripe([1]!Olekuvorrand($C6,$T7,$Y7,$X7,$W7,J$4,[1]!juhe($T7,6)),[1]!juhe($T7,6),$C6,0)</f>
        <v>11.665457279962656</v>
      </c>
      <c r="K9" s="115">
        <f ca="1">[1]!ripe([1]!Olekuvorrand($C6,$T7,$Y7,$X7,$W7,K$4,[1]!juhe($T7,6)),[1]!juhe($T7,6),$C6,0)</f>
        <v>11.682738922842061</v>
      </c>
      <c r="L9" s="115">
        <f ca="1">[1]!ripe([1]!Olekuvorrand($C6,$T7,$Y7,$X7,$W7,L$4,[1]!juhe($T7,6)),[1]!juhe($T7,6),$C6,0)</f>
        <v>11.699998734494152</v>
      </c>
      <c r="M9" s="115">
        <f ca="1">[1]!ripe([1]!Olekuvorrand($C6,$T7,$Y7,$X7,$W7,M$4,[1]!juhe($T7,6)),[1]!juhe($T7,6),$C6,0)</f>
        <v>11.717257244211543</v>
      </c>
      <c r="N9" s="115">
        <f ca="1">[1]!ripe([1]!Olekuvorrand($C6,$T7,$Y7,$X7,$W7,N$4,[1]!juhe($T7,6)),[1]!juhe($T7,6),$C6,0)</f>
        <v>11.734503708448688</v>
      </c>
      <c r="O9" s="206"/>
      <c r="P9" s="134"/>
      <c r="Q9" s="141"/>
      <c r="R9" s="129"/>
      <c r="S9" s="129"/>
      <c r="T9" s="129"/>
      <c r="U9" s="129"/>
      <c r="V9" s="129"/>
      <c r="W9" s="129"/>
      <c r="X9" s="129"/>
      <c r="Y9" s="129"/>
      <c r="Z9" s="129"/>
      <c r="AA9" s="127"/>
    </row>
    <row r="10" spans="1:29" x14ac:dyDescent="0.2">
      <c r="A10" s="105"/>
      <c r="B10" s="113" t="str">
        <f ca="1">INDIRECT("Visangud!C" &amp; R10)</f>
        <v>103Y-104Y</v>
      </c>
      <c r="C10" s="106">
        <f ca="1">INDIRECT("Visangud!"&amp;Q10&amp;R10)</f>
        <v>427.66737956155202</v>
      </c>
      <c r="D10" s="10" t="s">
        <v>31</v>
      </c>
      <c r="E10" s="12">
        <f ca="1">[1]!ripe(E$6,[1]!juhe($T$7,6),$C10,0)</f>
        <v>10.589332444496774</v>
      </c>
      <c r="F10" s="12">
        <f ca="1">[1]!ripe(F$6,[1]!juhe($T$7,6),$C10,0)</f>
        <v>10.605175460718984</v>
      </c>
      <c r="G10" s="12">
        <f ca="1">[1]!ripe(G$6,[1]!juhe($T$7,6),$C10,0)</f>
        <v>10.621009487618918</v>
      </c>
      <c r="H10" s="12">
        <f ca="1">[1]!ripe(H$6,[1]!juhe($T$7,6),$C10,0)</f>
        <v>10.636834231951605</v>
      </c>
      <c r="I10" s="12">
        <f ca="1">[1]!ripe(I$6,[1]!juhe($T$7,6),$C10,0)</f>
        <v>10.652649399015653</v>
      </c>
      <c r="J10" s="12">
        <f ca="1">[1]!ripe(J$6,[1]!juhe($T$7,6),$C10,0)</f>
        <v>10.668454692658107</v>
      </c>
      <c r="K10" s="12">
        <f ca="1">[1]!ripe(K$6,[1]!juhe($T$7,6),$C10,0)</f>
        <v>10.684259338772609</v>
      </c>
      <c r="L10" s="12">
        <f ca="1">[1]!ripe(L$6,[1]!juhe($T$7,6),$C10,0)</f>
        <v>10.700044019492363</v>
      </c>
      <c r="M10" s="12">
        <f ca="1">[1]!ripe(M$6,[1]!juhe($T$7,6),$C10,0)</f>
        <v>10.715827509548861</v>
      </c>
      <c r="N10" s="12">
        <f ca="1">[1]!ripe(N$6,[1]!juhe($T$7,6),$C10,0)</f>
        <v>10.731599983606827</v>
      </c>
      <c r="O10" s="124"/>
      <c r="Q10" s="139" t="s">
        <v>197</v>
      </c>
      <c r="R10" s="129">
        <v>15</v>
      </c>
      <c r="S10" s="129"/>
      <c r="T10" s="129"/>
      <c r="U10" s="129"/>
      <c r="V10" s="129"/>
      <c r="W10" s="129"/>
      <c r="X10" s="129"/>
      <c r="Y10" s="129"/>
      <c r="Z10" s="129"/>
      <c r="AC10" s="11"/>
    </row>
    <row r="11" spans="1:29" x14ac:dyDescent="0.2">
      <c r="A11" s="105"/>
      <c r="B11" s="113" t="str">
        <f t="shared" ref="B11:B15" ca="1" si="1">INDIRECT("Visangud!C" &amp; R11)</f>
        <v>104Y-105Y</v>
      </c>
      <c r="C11" s="106">
        <f t="shared" ref="C11:C15" ca="1" si="2">INDIRECT("Visangud!"&amp;Q11&amp;R11)</f>
        <v>450.81823399219502</v>
      </c>
      <c r="D11" s="10" t="s">
        <v>31</v>
      </c>
      <c r="E11" s="12">
        <f ca="1">[1]!ripe(E$6,[1]!juhe($T$7,6),$C11,0)</f>
        <v>11.766824564915924</v>
      </c>
      <c r="F11" s="12">
        <f ca="1">[1]!ripe(F$6,[1]!juhe($T$7,6),$C11,0)</f>
        <v>11.784429262232111</v>
      </c>
      <c r="G11" s="12">
        <f ca="1">[1]!ripe(G$6,[1]!juhe($T$7,6),$C11,0)</f>
        <v>11.802023970648742</v>
      </c>
      <c r="H11" s="12">
        <f ca="1">[1]!ripe(H$6,[1]!juhe($T$7,6),$C11,0)</f>
        <v>11.819608364313154</v>
      </c>
      <c r="I11" s="12">
        <f ca="1">[1]!ripe(I$6,[1]!juhe($T$7,6),$C11,0)</f>
        <v>11.837182115754324</v>
      </c>
      <c r="J11" s="12">
        <f ca="1">[1]!ripe(J$6,[1]!juhe($T$7,6),$C11,0)</f>
        <v>11.854744895888251</v>
      </c>
      <c r="K11" s="12">
        <f ca="1">[1]!ripe(K$6,[1]!juhe($T$7,6),$C11,0)</f>
        <v>11.872306956491661</v>
      </c>
      <c r="L11" s="12">
        <f ca="1">[1]!ripe(L$6,[1]!juhe($T$7,6),$C11,0)</f>
        <v>11.889846831626951</v>
      </c>
      <c r="M11" s="12">
        <f ca="1">[1]!ripe(M$6,[1]!juhe($T$7,6),$C11,0)</f>
        <v>11.907385383701914</v>
      </c>
      <c r="N11" s="12">
        <f ca="1">[1]!ripe(N$6,[1]!juhe($T$7,6),$C11,0)</f>
        <v>11.924911694842637</v>
      </c>
      <c r="O11" s="124"/>
      <c r="Q11" s="139" t="s">
        <v>197</v>
      </c>
      <c r="R11" s="222">
        <v>16</v>
      </c>
      <c r="S11" s="210"/>
      <c r="T11" s="209"/>
      <c r="U11" s="210"/>
      <c r="V11" s="209"/>
      <c r="W11" s="210"/>
      <c r="X11" s="129"/>
      <c r="Y11" s="129"/>
      <c r="Z11" s="129"/>
      <c r="AC11" s="11"/>
    </row>
    <row r="12" spans="1:29" x14ac:dyDescent="0.2">
      <c r="A12" s="105"/>
      <c r="B12" s="113" t="str">
        <f t="shared" ca="1" si="1"/>
        <v>105Y-106Y</v>
      </c>
      <c r="C12" s="106">
        <f t="shared" ca="1" si="2"/>
        <v>450.82239030482776</v>
      </c>
      <c r="D12" s="10" t="s">
        <v>31</v>
      </c>
      <c r="E12" s="12">
        <f ca="1">[1]!ripe(E$6,[1]!juhe($T$7,6),$C12,0)</f>
        <v>11.767041534077087</v>
      </c>
      <c r="F12" s="12">
        <f ca="1">[1]!ripe(F$6,[1]!juhe($T$7,6),$C12,0)</f>
        <v>11.78464655600731</v>
      </c>
      <c r="G12" s="12">
        <f ca="1">[1]!ripe(G$6,[1]!juhe($T$7,6),$C12,0)</f>
        <v>11.802241588853791</v>
      </c>
      <c r="H12" s="12">
        <f ca="1">[1]!ripe(H$6,[1]!juhe($T$7,6),$C12,0)</f>
        <v>11.819826306757861</v>
      </c>
      <c r="I12" s="12">
        <f ca="1">[1]!ripe(I$6,[1]!juhe($T$7,6),$C12,0)</f>
        <v>11.837400382242452</v>
      </c>
      <c r="J12" s="12">
        <f ca="1">[1]!ripe(J$6,[1]!juhe($T$7,6),$C12,0)</f>
        <v>11.8549634862175</v>
      </c>
      <c r="K12" s="12">
        <f ca="1">[1]!ripe(K$6,[1]!juhe($T$7,6),$C12,0)</f>
        <v>11.872525870648765</v>
      </c>
      <c r="L12" s="12">
        <f ca="1">[1]!ripe(L$6,[1]!juhe($T$7,6),$C12,0)</f>
        <v>11.890066069202833</v>
      </c>
      <c r="M12" s="12">
        <f ca="1">[1]!ripe(M$6,[1]!juhe($T$7,6),$C12,0)</f>
        <v>11.907604944672176</v>
      </c>
      <c r="N12" s="12">
        <f ca="1">[1]!ripe(N$6,[1]!juhe($T$7,6),$C12,0)</f>
        <v>11.925131578981565</v>
      </c>
      <c r="O12" s="124"/>
      <c r="Q12" s="139" t="s">
        <v>197</v>
      </c>
      <c r="R12" s="129">
        <v>17</v>
      </c>
      <c r="S12" s="209"/>
      <c r="T12" s="209"/>
      <c r="U12" s="209"/>
      <c r="V12" s="209"/>
      <c r="W12" s="209"/>
      <c r="X12" s="129"/>
      <c r="Y12" s="129"/>
      <c r="Z12" s="129"/>
      <c r="AC12" s="11"/>
    </row>
    <row r="13" spans="1:29" x14ac:dyDescent="0.2">
      <c r="A13" s="105"/>
      <c r="B13" s="113" t="str">
        <f t="shared" ca="1" si="1"/>
        <v>106Y-107Y</v>
      </c>
      <c r="C13" s="106">
        <f t="shared" ca="1" si="2"/>
        <v>450.81940475091346</v>
      </c>
      <c r="D13" s="10" t="s">
        <v>31</v>
      </c>
      <c r="E13" s="12">
        <f ca="1">[1]!ripe(E$6,[1]!juhe($T$7,6),$C13,0)</f>
        <v>11.766885681034559</v>
      </c>
      <c r="F13" s="12">
        <f ca="1">[1]!ripe(F$6,[1]!juhe($T$7,6),$C13,0)</f>
        <v>11.784490469788395</v>
      </c>
      <c r="G13" s="12">
        <f ca="1">[1]!ripe(G$6,[1]!juhe($T$7,6),$C13,0)</f>
        <v>11.802085269590794</v>
      </c>
      <c r="H13" s="12">
        <f ca="1">[1]!ripe(H$6,[1]!juhe($T$7,6),$C13,0)</f>
        <v>11.8196697545874</v>
      </c>
      <c r="I13" s="12">
        <f ca="1">[1]!ripe(I$6,[1]!juhe($T$7,6),$C13,0)</f>
        <v>11.837243597305486</v>
      </c>
      <c r="J13" s="12">
        <f ca="1">[1]!ripe(J$6,[1]!juhe($T$7,6),$C13,0)</f>
        <v>11.854806468659346</v>
      </c>
      <c r="K13" s="12">
        <f ca="1">[1]!ripe(K$6,[1]!juhe($T$7,6),$C13,0)</f>
        <v>11.872368620478953</v>
      </c>
      <c r="L13" s="12">
        <f ca="1">[1]!ripe(L$6,[1]!juhe($T$7,6),$C13,0)</f>
        <v>11.88990858671521</v>
      </c>
      <c r="M13" s="12">
        <f ca="1">[1]!ripe(M$6,[1]!juhe($T$7,6),$C13,0)</f>
        <v>11.907447229884268</v>
      </c>
      <c r="N13" s="12">
        <f ca="1">[1]!ripe(N$6,[1]!juhe($T$7,6),$C13,0)</f>
        <v>11.924973632055504</v>
      </c>
      <c r="O13" s="124"/>
      <c r="Q13" s="139" t="s">
        <v>197</v>
      </c>
      <c r="R13" s="222">
        <v>18</v>
      </c>
      <c r="S13" s="209"/>
      <c r="T13" s="209"/>
      <c r="U13" s="209"/>
      <c r="V13" s="209"/>
      <c r="W13" s="209"/>
      <c r="X13" s="129"/>
      <c r="Y13" s="129"/>
      <c r="Z13" s="129"/>
      <c r="AC13" s="11"/>
    </row>
    <row r="14" spans="1:29" x14ac:dyDescent="0.2">
      <c r="A14" s="105"/>
      <c r="B14" s="113" t="str">
        <f t="shared" ca="1" si="1"/>
        <v>107Y-108Y</v>
      </c>
      <c r="C14" s="106">
        <f t="shared" ca="1" si="2"/>
        <v>450.88263938651085</v>
      </c>
      <c r="D14" s="10" t="s">
        <v>31</v>
      </c>
      <c r="E14" s="12">
        <f ca="1">[1]!ripe(E$6,[1]!juhe($T$7,6),$C14,0)</f>
        <v>11.770186900567293</v>
      </c>
      <c r="F14" s="12">
        <f ca="1">[1]!ripe(F$6,[1]!juhe($T$7,6),$C14,0)</f>
        <v>11.787796628374171</v>
      </c>
      <c r="G14" s="12">
        <f ca="1">[1]!ripe(G$6,[1]!juhe($T$7,6),$C14,0)</f>
        <v>11.805396364427192</v>
      </c>
      <c r="H14" s="12">
        <f ca="1">[1]!ripe(H$6,[1]!juhe($T$7,6),$C14,0)</f>
        <v>11.822985782780586</v>
      </c>
      <c r="I14" s="12">
        <f ca="1">[1]!ripe(I$6,[1]!juhe($T$7,6),$C14,0)</f>
        <v>11.840564555869751</v>
      </c>
      <c r="J14" s="12">
        <f ca="1">[1]!ripe(J$6,[1]!juhe($T$7,6),$C14,0)</f>
        <v>11.858132354516655</v>
      </c>
      <c r="K14" s="12">
        <f ca="1">[1]!ripe(K$6,[1]!juhe($T$7,6),$C14,0)</f>
        <v>11.875699433427439</v>
      </c>
      <c r="L14" s="12">
        <f ca="1">[1]!ripe(L$6,[1]!juhe($T$7,6),$C14,0)</f>
        <v>11.893244320530671</v>
      </c>
      <c r="M14" s="12">
        <f ca="1">[1]!ripe(M$6,[1]!juhe($T$7,6),$C14,0)</f>
        <v>11.910787884195514</v>
      </c>
      <c r="N14" s="12">
        <f ca="1">[1]!ripe(N$6,[1]!juhe($T$7,6),$C14,0)</f>
        <v>11.928319203428305</v>
      </c>
      <c r="O14" s="124"/>
      <c r="Q14" s="139" t="s">
        <v>197</v>
      </c>
      <c r="R14" s="129">
        <v>19</v>
      </c>
      <c r="S14" s="129"/>
      <c r="T14" s="129"/>
      <c r="U14" s="129"/>
      <c r="V14" s="129"/>
      <c r="W14" s="129"/>
      <c r="X14" s="129"/>
      <c r="Y14" s="129"/>
      <c r="Z14" s="129"/>
      <c r="AC14" s="11"/>
    </row>
    <row r="15" spans="1:29" x14ac:dyDescent="0.2">
      <c r="A15" s="105"/>
      <c r="B15" s="113" t="str">
        <f t="shared" ca="1" si="1"/>
        <v>108Y-109Y</v>
      </c>
      <c r="C15" s="106">
        <f t="shared" ca="1" si="2"/>
        <v>450.73649608150839</v>
      </c>
      <c r="D15" s="10" t="s">
        <v>31</v>
      </c>
      <c r="E15" s="12">
        <f ca="1">[1]!ripe(E$6,[1]!juhe($T$7,6),$C15,0)</f>
        <v>11.762558062848381</v>
      </c>
      <c r="F15" s="12">
        <f ca="1">[1]!ripe(F$6,[1]!juhe($T$7,6),$C15,0)</f>
        <v>11.780156376923527</v>
      </c>
      <c r="G15" s="12">
        <f ca="1">[1]!ripe(G$6,[1]!juhe($T$7,6),$C15,0)</f>
        <v>11.797744705720966</v>
      </c>
      <c r="H15" s="12">
        <f ca="1">[1]!ripe(H$6,[1]!juhe($T$7,6),$C15,0)</f>
        <v>11.815322723506185</v>
      </c>
      <c r="I15" s="12">
        <f ca="1">[1]!ripe(I$6,[1]!juhe($T$7,6),$C15,0)</f>
        <v>11.832890102926894</v>
      </c>
      <c r="J15" s="12">
        <f ca="1">[1]!ripe(J$6,[1]!juhe($T$7,6),$C15,0)</f>
        <v>11.850446515018421</v>
      </c>
      <c r="K15" s="12">
        <f ca="1">[1]!ripe(K$6,[1]!juhe($T$7,6),$C15,0)</f>
        <v>11.868002207840323</v>
      </c>
      <c r="L15" s="12">
        <f ca="1">[1]!ripe(L$6,[1]!juhe($T$7,6),$C15,0)</f>
        <v>11.885535723238275</v>
      </c>
      <c r="M15" s="12">
        <f ca="1">[1]!ripe(M$6,[1]!juhe($T$7,6),$C15,0)</f>
        <v>11.903067916055626</v>
      </c>
      <c r="N15" s="12">
        <f ca="1">[1]!ripe(N$6,[1]!juhe($T$7,6),$C15,0)</f>
        <v>11.920587872377144</v>
      </c>
      <c r="O15" s="124"/>
      <c r="Q15" s="139" t="s">
        <v>197</v>
      </c>
      <c r="R15" s="222">
        <v>20</v>
      </c>
      <c r="S15" s="129"/>
      <c r="T15" s="129"/>
      <c r="U15" s="129"/>
      <c r="V15" s="129"/>
      <c r="W15" s="129"/>
      <c r="X15" s="129"/>
      <c r="Y15" s="129"/>
      <c r="Z15" s="129"/>
      <c r="AC15" s="11"/>
    </row>
    <row r="16" spans="1:29" s="115" customFormat="1" hidden="1" x14ac:dyDescent="0.2">
      <c r="A16" s="204">
        <v>1</v>
      </c>
      <c r="B16" s="205" t="str">
        <f ca="1">R17</f>
        <v>109Y- 117Y</v>
      </c>
      <c r="C16" s="208">
        <f ca="1">S17</f>
        <v>443.42681236767572</v>
      </c>
      <c r="D16" s="115" t="s">
        <v>130</v>
      </c>
      <c r="E16" s="115">
        <f ca="1">[1]!Olekuvorrand($C16,$T17,$Y17,$X17,$W17,E$4,[1]!juhe($T17,6),TRUE)</f>
        <v>134.99456644058228</v>
      </c>
      <c r="F16" s="115">
        <f ca="1">[1]!Olekuvorrand($C16,$T17,$Y17,$X17,$W17,F$4,[1]!juhe($T17,6),TRUE)</f>
        <v>134.79012250900269</v>
      </c>
      <c r="G16" s="115">
        <f ca="1">[1]!Olekuvorrand($C16,$T17,$Y17,$X17,$W17,G$4,[1]!juhe($T17,6),TRUE)</f>
        <v>134.58627462387085</v>
      </c>
      <c r="H16" s="115">
        <f ca="1">[1]!Olekuvorrand($C16,$T17,$Y17,$X17,$W17,H$4,[1]!juhe($T17,6),TRUE)</f>
        <v>134.38326120376587</v>
      </c>
      <c r="I16" s="115">
        <f ca="1">[1]!Olekuvorrand($C16,$T17,$Y17,$X17,$W17,I$4,[1]!juhe($T17,6),TRUE)</f>
        <v>134.18096303939819</v>
      </c>
      <c r="J16" s="115">
        <f ca="1">[1]!Olekuvorrand($C16,$T17,$Y17,$X17,$W17,J$4,[1]!juhe($T17,6),TRUE)</f>
        <v>133.97938013076782</v>
      </c>
      <c r="K16" s="115">
        <f ca="1">[1]!Olekuvorrand($C16,$T17,$Y17,$X17,$W17,K$4,[1]!juhe($T17,6),TRUE)</f>
        <v>133.77851247787476</v>
      </c>
      <c r="L16" s="115">
        <f ca="1">[1]!Olekuvorrand($C16,$T17,$Y17,$X17,$W17,L$4,[1]!juhe($T17,6),TRUE)</f>
        <v>133.57836008071899</v>
      </c>
      <c r="M16" s="115">
        <f ca="1">[1]!Olekuvorrand($C16,$T17,$Y17,$X17,$W17,M$4,[1]!juhe($T17,6),TRUE)</f>
        <v>133.37892293930054</v>
      </c>
      <c r="N16" s="115">
        <f ca="1">[1]!Olekuvorrand($C16,$T17,$Y17,$X17,$W17,N$4,[1]!juhe($T17,6),TRUE)</f>
        <v>133.18020105361938</v>
      </c>
      <c r="O16" s="206">
        <f ca="1">U17</f>
        <v>133.97938013076782</v>
      </c>
      <c r="P16" s="134"/>
      <c r="Q16" s="141"/>
      <c r="R16" s="135"/>
      <c r="S16" s="135"/>
      <c r="T16" s="135"/>
      <c r="U16" s="135"/>
      <c r="V16" s="135"/>
      <c r="W16" s="135"/>
      <c r="X16" s="135"/>
      <c r="Y16" s="135"/>
      <c r="Z16" s="135"/>
      <c r="AA16" s="127"/>
    </row>
    <row r="17" spans="1:29" s="115" customFormat="1" x14ac:dyDescent="0.2">
      <c r="A17" s="204"/>
      <c r="B17" s="205"/>
      <c r="C17" s="208"/>
      <c r="D17" s="115" t="s">
        <v>32</v>
      </c>
      <c r="E17" s="115">
        <f ca="1">E16*[1]!juhe($T17,2)/10</f>
        <v>1259.4993048906326</v>
      </c>
      <c r="F17" s="115">
        <f ca="1">F16*[1]!juhe($T17,2)/10</f>
        <v>1257.5918430089951</v>
      </c>
      <c r="G17" s="115">
        <f ca="1">G16*[1]!juhe($T17,2)/10</f>
        <v>1255.689942240715</v>
      </c>
      <c r="H17" s="115">
        <f ca="1">H16*[1]!juhe($T17,2)/10</f>
        <v>1253.7958270311356</v>
      </c>
      <c r="I17" s="115">
        <f ca="1">I16*[1]!juhe($T17,2)/10</f>
        <v>1251.9083851575851</v>
      </c>
      <c r="J17" s="115">
        <f ca="1">J16*[1]!juhe($T17,2)/10</f>
        <v>1250.0276166200638</v>
      </c>
      <c r="K17" s="115">
        <f ca="1">K16*[1]!juhe($T17,2)/10</f>
        <v>1248.1535214185715</v>
      </c>
      <c r="L17" s="115">
        <f ca="1">L16*[1]!juhe($T17,2)/10</f>
        <v>1246.2860995531082</v>
      </c>
      <c r="M17" s="115">
        <f ca="1">M16*[1]!juhe($T17,2)/10</f>
        <v>1244.425351023674</v>
      </c>
      <c r="N17" s="115">
        <f ca="1">N16*[1]!juhe($T17,2)/10</f>
        <v>1242.5712758302689</v>
      </c>
      <c r="O17" s="206"/>
      <c r="P17" s="134"/>
      <c r="Q17" s="141" t="s">
        <v>201</v>
      </c>
      <c r="R17" s="129" t="str">
        <f t="shared" ref="R17:Y17" ca="1" si="3">INDIRECT("'"&amp;$S$1&amp;"'!"&amp;$Q17&amp;R$4)</f>
        <v>109Y- 117Y</v>
      </c>
      <c r="S17" s="129">
        <f t="shared" ca="1" si="3"/>
        <v>443.42681236767572</v>
      </c>
      <c r="T17" s="129" t="str">
        <f t="shared" ca="1" si="3"/>
        <v>OPGW-2S 2/48B1 (0/93-55.3)</v>
      </c>
      <c r="U17" s="129">
        <f t="shared" ca="1" si="3"/>
        <v>133.97938013076782</v>
      </c>
      <c r="V17" s="129">
        <f t="shared" ca="1" si="3"/>
        <v>5</v>
      </c>
      <c r="W17" s="129">
        <f t="shared" ca="1" si="3"/>
        <v>0.22232139050606797</v>
      </c>
      <c r="X17" s="129">
        <f t="shared" ca="1" si="3"/>
        <v>-5</v>
      </c>
      <c r="Y17" s="129">
        <f t="shared" ca="1" si="3"/>
        <v>349.45052862167358</v>
      </c>
      <c r="Z17" s="129">
        <v>1</v>
      </c>
      <c r="AA17" s="127"/>
    </row>
    <row r="18" spans="1:29" s="115" customFormat="1" x14ac:dyDescent="0.2">
      <c r="A18" s="204"/>
      <c r="B18" s="205"/>
      <c r="C18" s="208"/>
      <c r="D18" s="115" t="s">
        <v>31</v>
      </c>
      <c r="E18" s="115">
        <f ca="1">[1]!ripe([1]!Olekuvorrand($C16,$T17,$Y17,$X17,$W17,E$4,[1]!juhe($T17,6),TRUE),[1]!juhe($T17,6),$C16,0)</f>
        <v>11.379354873719077</v>
      </c>
      <c r="F18" s="115">
        <f ca="1">[1]!ripe([1]!Olekuvorrand($C16,$T17,$Y17,$X17,$W17,F$4,[1]!juhe($T17,6),TRUE),[1]!juhe($T17,6),$C16,0)</f>
        <v>11.396614595766344</v>
      </c>
      <c r="G18" s="115">
        <f ca="1">[1]!ripe([1]!Olekuvorrand($C16,$T17,$Y17,$X17,$W17,G$4,[1]!juhe($T17,6),TRUE),[1]!juhe($T17,6),$C16,0)</f>
        <v>11.413876205759653</v>
      </c>
      <c r="H18" s="115">
        <f ca="1">[1]!ripe([1]!Olekuvorrand($C16,$T17,$Y17,$X17,$W17,H$4,[1]!juhe($T17,6),TRUE),[1]!juhe($T17,6),$C16,0)</f>
        <v>11.431119201832448</v>
      </c>
      <c r="I18" s="115">
        <f ca="1">[1]!ripe([1]!Olekuvorrand($C16,$T17,$Y17,$X17,$W17,I$4,[1]!juhe($T17,6),TRUE),[1]!juhe($T17,6),$C16,0)</f>
        <v>11.448353348754765</v>
      </c>
      <c r="J18" s="115">
        <f ca="1">[1]!ripe([1]!Olekuvorrand($C16,$T17,$Y17,$X17,$W17,J$4,[1]!juhe($T17,6),TRUE),[1]!juhe($T17,6),$C16,0)</f>
        <v>11.465578330425958</v>
      </c>
      <c r="K18" s="115">
        <f ca="1">[1]!ripe([1]!Olekuvorrand($C16,$T17,$Y17,$X17,$W17,K$4,[1]!juhe($T17,6),TRUE),[1]!juhe($T17,6),$C16,0)</f>
        <v>11.482793829130767</v>
      </c>
      <c r="L18" s="115">
        <f ca="1">[1]!ripe([1]!Olekuvorrand($C16,$T17,$Y17,$X17,$W17,L$4,[1]!juhe($T17,6),TRUE),[1]!juhe($T17,6),$C16,0)</f>
        <v>11.499999525544146</v>
      </c>
      <c r="M18" s="115">
        <f ca="1">[1]!ripe([1]!Olekuvorrand($C16,$T17,$Y17,$X17,$W17,M$4,[1]!juhe($T17,6),TRUE),[1]!juhe($T17,6),$C16,0)</f>
        <v>11.517195098736261</v>
      </c>
      <c r="N18" s="115">
        <f ca="1">[1]!ripe([1]!Olekuvorrand($C16,$T17,$Y17,$X17,$W17,N$4,[1]!juhe($T17,6),TRUE),[1]!juhe($T17,6),$C16,0)</f>
        <v>11.534380226177667</v>
      </c>
      <c r="O18" s="206"/>
      <c r="P18" s="134"/>
      <c r="Q18" s="141"/>
      <c r="R18" s="129"/>
      <c r="S18" s="129"/>
      <c r="T18" s="129"/>
      <c r="U18" s="129"/>
      <c r="V18" s="129"/>
      <c r="W18" s="129"/>
      <c r="X18" s="129"/>
      <c r="Y18" s="129"/>
      <c r="Z18" s="129"/>
      <c r="AA18" s="127"/>
    </row>
    <row r="19" spans="1:29" s="115" customFormat="1" x14ac:dyDescent="0.2">
      <c r="A19" s="204"/>
      <c r="B19" s="205"/>
      <c r="C19" s="208"/>
      <c r="D19" s="115" t="s">
        <v>195</v>
      </c>
      <c r="E19" s="115">
        <f ca="1">[1]!ripe([1]!Olekuvorrand($C16,$T17,$Y17,$X17,$W17,E$4,[1]!juhe($T17,6)),[1]!juhe($T17,6),$C16,0)</f>
        <v>11.379354873719077</v>
      </c>
      <c r="F19" s="115">
        <f ca="1">[1]!ripe([1]!Olekuvorrand($C16,$T17,$Y17,$X17,$W17,F$4,[1]!juhe($T17,6)),[1]!juhe($T17,6),$C16,0)</f>
        <v>11.396614595766344</v>
      </c>
      <c r="G19" s="115">
        <f ca="1">[1]!ripe([1]!Olekuvorrand($C16,$T17,$Y17,$X17,$W17,G$4,[1]!juhe($T17,6)),[1]!juhe($T17,6),$C16,0)</f>
        <v>11.413876205759653</v>
      </c>
      <c r="H19" s="115">
        <f ca="1">[1]!ripe([1]!Olekuvorrand($C16,$T17,$Y17,$X17,$W17,H$4,[1]!juhe($T17,6)),[1]!juhe($T17,6),$C16,0)</f>
        <v>11.431119201832448</v>
      </c>
      <c r="I19" s="115">
        <f ca="1">[1]!ripe([1]!Olekuvorrand($C16,$T17,$Y17,$X17,$W17,I$4,[1]!juhe($T17,6)),[1]!juhe($T17,6),$C16,0)</f>
        <v>11.448353348754765</v>
      </c>
      <c r="J19" s="115">
        <f ca="1">[1]!ripe([1]!Olekuvorrand($C16,$T17,$Y17,$X17,$W17,J$4,[1]!juhe($T17,6)),[1]!juhe($T17,6),$C16,0)</f>
        <v>11.465578330425958</v>
      </c>
      <c r="K19" s="115">
        <f ca="1">[1]!ripe([1]!Olekuvorrand($C16,$T17,$Y17,$X17,$W17,K$4,[1]!juhe($T17,6)),[1]!juhe($T17,6),$C16,0)</f>
        <v>11.482793829130767</v>
      </c>
      <c r="L19" s="115">
        <f ca="1">[1]!ripe([1]!Olekuvorrand($C16,$T17,$Y17,$X17,$W17,L$4,[1]!juhe($T17,6)),[1]!juhe($T17,6),$C16,0)</f>
        <v>11.499999525544146</v>
      </c>
      <c r="M19" s="115">
        <f ca="1">[1]!ripe([1]!Olekuvorrand($C16,$T17,$Y17,$X17,$W17,M$4,[1]!juhe($T17,6)),[1]!juhe($T17,6),$C16,0)</f>
        <v>11.517195098736261</v>
      </c>
      <c r="N19" s="115">
        <f ca="1">[1]!ripe([1]!Olekuvorrand($C16,$T17,$Y17,$X17,$W17,N$4,[1]!juhe($T17,6)),[1]!juhe($T17,6),$C16,0)</f>
        <v>11.534380226177667</v>
      </c>
      <c r="O19" s="206"/>
      <c r="P19" s="134"/>
      <c r="Q19" s="141"/>
      <c r="R19" s="129"/>
      <c r="S19" s="129"/>
      <c r="T19" s="129"/>
      <c r="U19" s="129"/>
      <c r="V19" s="129"/>
      <c r="W19" s="129"/>
      <c r="X19" s="129"/>
      <c r="Y19" s="129"/>
      <c r="Z19" s="129"/>
      <c r="AA19" s="127"/>
    </row>
    <row r="20" spans="1:29" x14ac:dyDescent="0.2">
      <c r="A20" s="105"/>
      <c r="B20" s="113" t="str">
        <f ca="1">INDIRECT("Visangud!C" &amp; R20)</f>
        <v>109Y-110Y</v>
      </c>
      <c r="C20" s="106">
        <f ca="1">INDIRECT("Visangud!"&amp;Q20&amp;R20)</f>
        <v>443.31831024674671</v>
      </c>
      <c r="D20" s="10" t="s">
        <v>31</v>
      </c>
      <c r="E20" s="12">
        <f ca="1">[1]!ripe(E$6,[1]!juhe($T$7,6),$C20,0)</f>
        <v>11.378569594049525</v>
      </c>
      <c r="F20" s="12">
        <f ca="1">[1]!ripe(F$6,[1]!juhe($T$7,6),$C20,0)</f>
        <v>11.395593411519506</v>
      </c>
      <c r="G20" s="12">
        <f ca="1">[1]!ripe(G$6,[1]!juhe($T$7,6),$C20,0)</f>
        <v>11.412607569680967</v>
      </c>
      <c r="H20" s="12">
        <f ca="1">[1]!ripe(H$6,[1]!juhe($T$7,6),$C20,0)</f>
        <v>11.429611753432994</v>
      </c>
      <c r="I20" s="12">
        <f ca="1">[1]!ripe(I$6,[1]!juhe($T$7,6),$C20,0)</f>
        <v>11.446605646109704</v>
      </c>
      <c r="J20" s="12">
        <f ca="1">[1]!ripe(J$6,[1]!juhe($T$7,6),$C20,0)</f>
        <v>11.463588929485468</v>
      </c>
      <c r="K20" s="12">
        <f ca="1">[1]!ripe(K$6,[1]!juhe($T$7,6),$C20,0)</f>
        <v>11.480571517072152</v>
      </c>
      <c r="L20" s="12">
        <f ca="1">[1]!ripe(L$6,[1]!juhe($T$7,6),$C20,0)</f>
        <v>11.49753265121644</v>
      </c>
      <c r="M20" s="12">
        <f ca="1">[1]!ripe(M$6,[1]!juhe($T$7,6),$C20,0)</f>
        <v>11.514492505955742</v>
      </c>
      <c r="N20" s="12">
        <f ca="1">[1]!ripe(N$6,[1]!juhe($T$7,6),$C20,0)</f>
        <v>11.531440523659368</v>
      </c>
      <c r="O20" s="124"/>
      <c r="Q20" s="139" t="s">
        <v>201</v>
      </c>
      <c r="R20" s="129">
        <v>21</v>
      </c>
      <c r="S20" s="129"/>
      <c r="T20" s="129"/>
      <c r="U20" s="129"/>
      <c r="V20" s="129"/>
      <c r="W20" s="129"/>
      <c r="X20" s="129"/>
      <c r="Y20" s="129"/>
      <c r="Z20" s="129"/>
      <c r="AC20" s="11"/>
    </row>
    <row r="21" spans="1:29" x14ac:dyDescent="0.2">
      <c r="A21" s="105"/>
      <c r="B21" s="113" t="str">
        <f t="shared" ref="B21:B27" ca="1" si="4">INDIRECT("Visangud!C" &amp; R21)</f>
        <v>110Y-111Y</v>
      </c>
      <c r="C21" s="106">
        <f t="shared" ref="C21:C27" ca="1" si="5">INDIRECT("Visangud!"&amp;Q21&amp;R21)</f>
        <v>448.46203239510157</v>
      </c>
      <c r="D21" s="10" t="s">
        <v>31</v>
      </c>
      <c r="E21" s="12">
        <f ca="1">[1]!ripe(E$16,[1]!juhe($T$7,6),$C21,0)</f>
        <v>11.639252867428551</v>
      </c>
      <c r="F21" s="12">
        <f ca="1">[1]!ripe(F$16,[1]!juhe($T$7,6),$C21,0)</f>
        <v>11.656906791711521</v>
      </c>
      <c r="G21" s="12">
        <f ca="1">[1]!ripe(G$16,[1]!juhe($T$7,6),$C21,0)</f>
        <v>11.674562647060144</v>
      </c>
      <c r="H21" s="12">
        <f ca="1">[1]!ripe(H$16,[1]!juhe($T$7,6),$C21,0)</f>
        <v>11.692199463356898</v>
      </c>
      <c r="I21" s="12">
        <f ca="1">[1]!ripe(I$16,[1]!juhe($T$7,6),$C21,0)</f>
        <v>11.709827228393607</v>
      </c>
      <c r="J21" s="12">
        <f ca="1">[1]!ripe(J$16,[1]!juhe($T$7,6),$C21,0)</f>
        <v>11.727445618850071</v>
      </c>
      <c r="K21" s="12">
        <f ca="1">[1]!ripe(K$16,[1]!juhe($T$7,6),$C21,0)</f>
        <v>11.745054309754591</v>
      </c>
      <c r="L21" s="12">
        <f ca="1">[1]!ripe(L$16,[1]!juhe($T$7,6),$C21,0)</f>
        <v>11.762652974488919</v>
      </c>
      <c r="M21" s="12">
        <f ca="1">[1]!ripe(M$16,[1]!juhe($T$7,6),$C21,0)</f>
        <v>11.780241284793368</v>
      </c>
      <c r="N21" s="12">
        <f ca="1">[1]!ripe(N$16,[1]!juhe($T$7,6),$C21,0)</f>
        <v>11.797818910772101</v>
      </c>
      <c r="O21" s="124"/>
      <c r="Q21" s="139" t="s">
        <v>201</v>
      </c>
      <c r="R21" s="129">
        <v>22</v>
      </c>
      <c r="S21" s="129"/>
      <c r="T21" s="129"/>
      <c r="U21" s="129"/>
      <c r="V21" s="129"/>
      <c r="W21" s="129"/>
      <c r="X21" s="129"/>
      <c r="Y21" s="129"/>
      <c r="Z21" s="129"/>
      <c r="AC21" s="11"/>
    </row>
    <row r="22" spans="1:29" x14ac:dyDescent="0.2">
      <c r="A22" s="105"/>
      <c r="B22" s="113" t="str">
        <f t="shared" ca="1" si="4"/>
        <v>111Y-112Y</v>
      </c>
      <c r="C22" s="106">
        <f t="shared" ca="1" si="5"/>
        <v>437.42198870199996</v>
      </c>
      <c r="D22" s="10" t="s">
        <v>31</v>
      </c>
      <c r="E22" s="12">
        <f ca="1">[1]!ripe(E$16,[1]!juhe($T$7,6),$C22,0)</f>
        <v>11.073246388554058</v>
      </c>
      <c r="F22" s="12">
        <f ca="1">[1]!ripe(F$16,[1]!juhe($T$7,6),$C22,0)</f>
        <v>11.090041818255328</v>
      </c>
      <c r="G22" s="12">
        <f ca="1">[1]!ripe(G$16,[1]!juhe($T$7,6),$C22,0)</f>
        <v>11.106839085116253</v>
      </c>
      <c r="H22" s="12">
        <f ca="1">[1]!ripe(H$16,[1]!juhe($T$7,6),$C22,0)</f>
        <v>11.123618238777407</v>
      </c>
      <c r="I22" s="12">
        <f ca="1">[1]!ripe(I$16,[1]!juhe($T$7,6),$C22,0)</f>
        <v>11.140388781333215</v>
      </c>
      <c r="J22" s="12">
        <f ca="1">[1]!ripe(J$16,[1]!juhe($T$7,6),$C22,0)</f>
        <v>11.157150405186247</v>
      </c>
      <c r="K22" s="12">
        <f ca="1">[1]!ripe(K$16,[1]!juhe($T$7,6),$C22,0)</f>
        <v>11.173902801167891</v>
      </c>
      <c r="L22" s="12">
        <f ca="1">[1]!ripe(L$16,[1]!juhe($T$7,6),$C22,0)</f>
        <v>11.190645658543051</v>
      </c>
      <c r="M22" s="12">
        <f ca="1">[1]!ripe(M$16,[1]!juhe($T$7,6),$C22,0)</f>
        <v>11.207378665015014</v>
      </c>
      <c r="N22" s="12">
        <f ca="1">[1]!ripe(N$16,[1]!juhe($T$7,6),$C22,0)</f>
        <v>11.224101506730486</v>
      </c>
      <c r="O22" s="124"/>
      <c r="Q22" s="139" t="s">
        <v>201</v>
      </c>
      <c r="R22" s="129">
        <v>23</v>
      </c>
      <c r="S22" s="129"/>
      <c r="T22" s="129"/>
      <c r="U22" s="129"/>
      <c r="V22" s="129"/>
      <c r="W22" s="129"/>
      <c r="X22" s="129"/>
      <c r="Y22" s="129"/>
      <c r="Z22" s="129"/>
      <c r="AC22" s="11"/>
    </row>
    <row r="23" spans="1:29" x14ac:dyDescent="0.2">
      <c r="A23" s="105"/>
      <c r="B23" s="113" t="str">
        <f t="shared" ca="1" si="4"/>
        <v>112Y-113Y</v>
      </c>
      <c r="C23" s="106">
        <f t="shared" ca="1" si="5"/>
        <v>443.2931465746102</v>
      </c>
      <c r="D23" s="10" t="s">
        <v>31</v>
      </c>
      <c r="E23" s="12">
        <f ca="1">[1]!ripe(E$16,[1]!juhe($T$7,6),$C23,0)</f>
        <v>11.372495562540845</v>
      </c>
      <c r="F23" s="12">
        <f ca="1">[1]!ripe(F$16,[1]!juhe($T$7,6),$C23,0)</f>
        <v>11.389744880676318</v>
      </c>
      <c r="G23" s="12">
        <f ca="1">[1]!ripe(G$16,[1]!juhe($T$7,6),$C23,0)</f>
        <v>11.406996085619808</v>
      </c>
      <c r="H23" s="12">
        <f ca="1">[1]!ripe(H$16,[1]!juhe($T$7,6),$C23,0)</f>
        <v>11.424228687862987</v>
      </c>
      <c r="I23" s="12">
        <f ca="1">[1]!ripe(I$16,[1]!juhe($T$7,6),$C23,0)</f>
        <v>11.441452446289826</v>
      </c>
      <c r="J23" s="12">
        <f ca="1">[1]!ripe(J$16,[1]!juhe($T$7,6),$C23,0)</f>
        <v>11.458667044990223</v>
      </c>
      <c r="K23" s="12">
        <f ca="1">[1]!ripe(K$16,[1]!juhe($T$7,6),$C23,0)</f>
        <v>11.475872166440434</v>
      </c>
      <c r="L23" s="12">
        <f ca="1">[1]!ripe(L$16,[1]!juhe($T$7,6),$C23,0)</f>
        <v>11.493067491507894</v>
      </c>
      <c r="M23" s="12">
        <f ca="1">[1]!ripe(M$16,[1]!juhe($T$7,6),$C23,0)</f>
        <v>11.51025269945622</v>
      </c>
      <c r="N23" s="12">
        <f ca="1">[1]!ripe(N$16,[1]!juhe($T$7,6),$C23,0)</f>
        <v>11.527427467950387</v>
      </c>
      <c r="O23" s="124"/>
      <c r="Q23" s="139" t="s">
        <v>201</v>
      </c>
      <c r="R23" s="129">
        <v>24</v>
      </c>
      <c r="S23" s="129"/>
      <c r="T23" s="129"/>
      <c r="U23" s="129"/>
      <c r="V23" s="129"/>
      <c r="W23" s="129"/>
      <c r="X23" s="129"/>
      <c r="Y23" s="129"/>
      <c r="Z23" s="129"/>
      <c r="AC23" s="11"/>
    </row>
    <row r="24" spans="1:29" x14ac:dyDescent="0.2">
      <c r="A24" s="105"/>
      <c r="B24" s="113" t="str">
        <f t="shared" ca="1" si="4"/>
        <v>113Y-114Y</v>
      </c>
      <c r="C24" s="106">
        <f t="shared" ca="1" si="5"/>
        <v>444.94337909448757</v>
      </c>
      <c r="D24" s="10" t="s">
        <v>31</v>
      </c>
      <c r="E24" s="12">
        <f ca="1">[1]!ripe(E$16,[1]!juhe($T$7,6),$C24,0)</f>
        <v>11.457325180517035</v>
      </c>
      <c r="F24" s="12">
        <f ca="1">[1]!ripe(F$16,[1]!juhe($T$7,6),$C24,0)</f>
        <v>11.474703164613267</v>
      </c>
      <c r="G24" s="12">
        <f ca="1">[1]!ripe(G$16,[1]!juhe($T$7,6),$C24,0)</f>
        <v>11.492083049591576</v>
      </c>
      <c r="H24" s="12">
        <f ca="1">[1]!ripe(H$16,[1]!juhe($T$7,6),$C24,0)</f>
        <v>11.509444193108481</v>
      </c>
      <c r="I24" s="12">
        <f ca="1">[1]!ripe(I$16,[1]!juhe($T$7,6),$C24,0)</f>
        <v>11.526796426841326</v>
      </c>
      <c r="J24" s="12">
        <f ca="1">[1]!ripe(J$16,[1]!juhe($T$7,6),$C24,0)</f>
        <v>11.544139432523581</v>
      </c>
      <c r="K24" s="12">
        <f ca="1">[1]!ripe(K$16,[1]!juhe($T$7,6),$C24,0)</f>
        <v>11.561472890263028</v>
      </c>
      <c r="L24" s="12">
        <f ca="1">[1]!ripe(L$16,[1]!juhe($T$7,6),$C24,0)</f>
        <v>11.578796478546632</v>
      </c>
      <c r="M24" s="12">
        <f ca="1">[1]!ripe(M$16,[1]!juhe($T$7,6),$C24,0)</f>
        <v>11.596109874245579</v>
      </c>
      <c r="N24" s="12">
        <f ca="1">[1]!ripe(N$16,[1]!juhe($T$7,6),$C24,0)</f>
        <v>11.613412752620482</v>
      </c>
      <c r="O24" s="124"/>
      <c r="Q24" s="139" t="s">
        <v>201</v>
      </c>
      <c r="R24" s="129">
        <v>25</v>
      </c>
      <c r="S24" s="129"/>
      <c r="T24" s="129"/>
      <c r="U24" s="129"/>
      <c r="V24" s="129"/>
      <c r="W24" s="129"/>
      <c r="X24" s="129"/>
      <c r="Y24" s="129"/>
      <c r="Z24" s="129"/>
      <c r="AC24" s="11"/>
    </row>
    <row r="25" spans="1:29" x14ac:dyDescent="0.2">
      <c r="A25" s="105"/>
      <c r="B25" s="113" t="str">
        <f t="shared" ca="1" si="4"/>
        <v>114Y-115Y</v>
      </c>
      <c r="C25" s="106">
        <f t="shared" ca="1" si="5"/>
        <v>443.31750879030767</v>
      </c>
      <c r="D25" s="10" t="s">
        <v>31</v>
      </c>
      <c r="E25" s="12">
        <f ca="1">[1]!ripe(E$16,[1]!juhe($T$7,6),$C25,0)</f>
        <v>11.373745601280552</v>
      </c>
      <c r="F25" s="12">
        <f ca="1">[1]!ripe(F$16,[1]!juhe($T$7,6),$C25,0)</f>
        <v>11.390996815421682</v>
      </c>
      <c r="G25" s="12">
        <f ca="1">[1]!ripe(G$16,[1]!juhe($T$7,6),$C25,0)</f>
        <v>11.408249916578219</v>
      </c>
      <c r="H25" s="12">
        <f ca="1">[1]!ripe(H$16,[1]!juhe($T$7,6),$C25,0)</f>
        <v>11.425484412989681</v>
      </c>
      <c r="I25" s="12">
        <f ca="1">[1]!ripe(I$16,[1]!juhe($T$7,6),$C25,0)</f>
        <v>11.442710064612712</v>
      </c>
      <c r="J25" s="12">
        <f ca="1">[1]!ripe(J$16,[1]!juhe($T$7,6),$C25,0)</f>
        <v>11.459926555502483</v>
      </c>
      <c r="K25" s="12">
        <f ca="1">[1]!ripe(K$16,[1]!juhe($T$7,6),$C25,0)</f>
        <v>11.477133568100349</v>
      </c>
      <c r="L25" s="12">
        <f ca="1">[1]!ripe(L$16,[1]!juhe($T$7,6),$C25,0)</f>
        <v>11.49433078323867</v>
      </c>
      <c r="M25" s="12">
        <f ca="1">[1]!ripe(M$16,[1]!juhe($T$7,6),$C25,0)</f>
        <v>11.511517880145806</v>
      </c>
      <c r="N25" s="12">
        <f ca="1">[1]!ripe(N$16,[1]!juhe($T$7,6),$C25,0)</f>
        <v>11.528694536451303</v>
      </c>
      <c r="O25" s="124"/>
      <c r="Q25" s="139" t="s">
        <v>201</v>
      </c>
      <c r="R25" s="129">
        <v>26</v>
      </c>
      <c r="S25" s="129"/>
      <c r="T25" s="129"/>
      <c r="U25" s="129"/>
      <c r="V25" s="129"/>
      <c r="W25" s="129"/>
      <c r="X25" s="129"/>
      <c r="Y25" s="129"/>
      <c r="Z25" s="129"/>
      <c r="AC25" s="11"/>
    </row>
    <row r="26" spans="1:29" x14ac:dyDescent="0.2">
      <c r="A26" s="105"/>
      <c r="B26" s="113" t="str">
        <f t="shared" ca="1" si="4"/>
        <v>115Y-116Y</v>
      </c>
      <c r="C26" s="106">
        <f t="shared" ca="1" si="5"/>
        <v>443.02190566605429</v>
      </c>
      <c r="D26" s="10" t="s">
        <v>31</v>
      </c>
      <c r="E26" s="12">
        <f ca="1">[1]!ripe(E$16,[1]!juhe($T$7,6),$C26,0)</f>
        <v>11.358582681963076</v>
      </c>
      <c r="F26" s="12">
        <f ca="1">[1]!ripe(F$16,[1]!juhe($T$7,6),$C26,0)</f>
        <v>11.375810897632347</v>
      </c>
      <c r="G26" s="12">
        <f ca="1">[1]!ripe(G$16,[1]!juhe($T$7,6),$C26,0)</f>
        <v>11.393040997801348</v>
      </c>
      <c r="H26" s="12">
        <f ca="1">[1]!ripe(H$16,[1]!juhe($T$7,6),$C26,0)</f>
        <v>11.410252518028207</v>
      </c>
      <c r="I26" s="12">
        <f ca="1">[1]!ripe(I$16,[1]!juhe($T$7,6),$C26,0)</f>
        <v>11.427455205258072</v>
      </c>
      <c r="J26" s="12">
        <f ca="1">[1]!ripe(J$16,[1]!juhe($T$7,6),$C26,0)</f>
        <v>11.444648743967319</v>
      </c>
      <c r="K26" s="12">
        <f ca="1">[1]!ripe(K$16,[1]!juhe($T$7,6),$C26,0)</f>
        <v>11.461832817020653</v>
      </c>
      <c r="L26" s="12">
        <f ca="1">[1]!ripe(L$16,[1]!juhe($T$7,6),$C26,0)</f>
        <v>11.479007105675933</v>
      </c>
      <c r="M26" s="12">
        <f ca="1">[1]!ripe(M$16,[1]!juhe($T$7,6),$C26,0)</f>
        <v>11.49617128958916</v>
      </c>
      <c r="N26" s="12">
        <f ca="1">[1]!ripe(N$16,[1]!juhe($T$7,6),$C26,0)</f>
        <v>11.513325046819643</v>
      </c>
      <c r="O26" s="124"/>
      <c r="Q26" s="139" t="s">
        <v>201</v>
      </c>
      <c r="R26" s="129">
        <v>27</v>
      </c>
      <c r="S26" s="129"/>
      <c r="T26" s="129"/>
      <c r="U26" s="129"/>
      <c r="V26" s="129"/>
      <c r="W26" s="129"/>
      <c r="X26" s="129"/>
      <c r="Y26" s="129"/>
      <c r="Z26" s="129"/>
      <c r="AC26" s="11"/>
    </row>
    <row r="27" spans="1:29" x14ac:dyDescent="0.2">
      <c r="A27" s="105"/>
      <c r="B27" s="113" t="str">
        <f t="shared" ca="1" si="4"/>
        <v>116Y-117Y</v>
      </c>
      <c r="C27" s="106">
        <f t="shared" ca="1" si="5"/>
        <v>443.42023014286383</v>
      </c>
      <c r="D27" s="10" t="s">
        <v>31</v>
      </c>
      <c r="E27" s="12">
        <f ca="1">[1]!ripe(E$16,[1]!juhe($T$7,6),$C27,0)</f>
        <v>11.3790170460822</v>
      </c>
      <c r="F27" s="12">
        <f ca="1">[1]!ripe(F$16,[1]!juhe($T$7,6),$C27,0)</f>
        <v>11.39627625572686</v>
      </c>
      <c r="G27" s="12">
        <f ca="1">[1]!ripe(G$16,[1]!juhe($T$7,6),$C27,0)</f>
        <v>11.413537353261512</v>
      </c>
      <c r="H27" s="12">
        <f ca="1">[1]!ripe(H$16,[1]!juhe($T$7,6),$C27,0)</f>
        <v>11.430779837428258</v>
      </c>
      <c r="I27" s="12">
        <f ca="1">[1]!ripe(I$16,[1]!juhe($T$7,6),$C27,0)</f>
        <v>11.448013472707233</v>
      </c>
      <c r="J27" s="12">
        <f ca="1">[1]!ripe(J$16,[1]!juhe($T$7,6),$C27,0)</f>
        <v>11.465237943007182</v>
      </c>
      <c r="K27" s="12">
        <f ca="1">[1]!ripe(K$16,[1]!juhe($T$7,6),$C27,0)</f>
        <v>11.482452930622276</v>
      </c>
      <c r="L27" s="12">
        <f ca="1">[1]!ripe(L$16,[1]!juhe($T$7,6),$C27,0)</f>
        <v>11.499658116236949</v>
      </c>
      <c r="M27" s="12">
        <f ca="1">[1]!ripe(M$16,[1]!juhe($T$7,6),$C27,0)</f>
        <v>11.516853178930893</v>
      </c>
      <c r="N27" s="12">
        <f ca="1">[1]!ripe(N$16,[1]!juhe($T$7,6),$C27,0)</f>
        <v>11.534037796184238</v>
      </c>
      <c r="O27" s="124"/>
      <c r="Q27" s="139" t="s">
        <v>201</v>
      </c>
      <c r="R27" s="129">
        <v>28</v>
      </c>
      <c r="S27" s="129"/>
      <c r="T27" s="129"/>
      <c r="U27" s="129"/>
      <c r="V27" s="129"/>
      <c r="W27" s="129"/>
      <c r="X27" s="129"/>
      <c r="Y27" s="129"/>
      <c r="Z27" s="129"/>
      <c r="AC27" s="11"/>
    </row>
    <row r="28" spans="1:29" s="115" customFormat="1" hidden="1" x14ac:dyDescent="0.2">
      <c r="A28" s="204">
        <v>1</v>
      </c>
      <c r="B28" s="205" t="str">
        <f ca="1">R29</f>
        <v>117Y- 118Y</v>
      </c>
      <c r="C28" s="208">
        <f ca="1">S29</f>
        <v>440.31887592980098</v>
      </c>
      <c r="D28" s="115" t="s">
        <v>130</v>
      </c>
      <c r="E28" s="115">
        <f ca="1">[1]!Olekuvorrand($C28,$T29,$Y29,$X29,$W29,E$4,[1]!juhe($T29,6),TRUE)</f>
        <v>135.48761606216431</v>
      </c>
      <c r="F28" s="115">
        <f ca="1">[1]!Olekuvorrand($C28,$T29,$Y29,$X29,$W29,F$4,[1]!juhe($T29,6),TRUE)</f>
        <v>135.27911901473999</v>
      </c>
      <c r="G28" s="115">
        <f ca="1">[1]!Olekuvorrand($C28,$T29,$Y29,$X29,$W29,G$4,[1]!juhe($T29,6),TRUE)</f>
        <v>135.07133722305298</v>
      </c>
      <c r="H28" s="115">
        <f ca="1">[1]!Olekuvorrand($C28,$T29,$Y29,$X29,$W29,H$4,[1]!juhe($T29,6),TRUE)</f>
        <v>134.86438989639282</v>
      </c>
      <c r="I28" s="115">
        <f ca="1">[1]!Olekuvorrand($C28,$T29,$Y29,$X29,$W29,I$4,[1]!juhe($T29,6),TRUE)</f>
        <v>134.65803861618042</v>
      </c>
      <c r="J28" s="115">
        <f ca="1">[1]!Olekuvorrand($C28,$T29,$Y29,$X29,$W29,J$4,[1]!juhe($T29,6),TRUE)</f>
        <v>134.45252180099487</v>
      </c>
      <c r="K28" s="115">
        <f ca="1">[1]!Olekuvorrand($C28,$T29,$Y29,$X29,$W29,K$4,[1]!juhe($T29,6),TRUE)</f>
        <v>134.24772024154663</v>
      </c>
      <c r="L28" s="115">
        <f ca="1">[1]!Olekuvorrand($C28,$T29,$Y29,$X29,$W29,L$4,[1]!juhe($T29,6),TRUE)</f>
        <v>134.04375314712524</v>
      </c>
      <c r="M28" s="115">
        <f ca="1">[1]!Olekuvorrand($C28,$T29,$Y29,$X29,$W29,M$4,[1]!juhe($T29,6),TRUE)</f>
        <v>133.84038209915161</v>
      </c>
      <c r="N28" s="115">
        <f ca="1">[1]!Olekuvorrand($C28,$T29,$Y29,$X29,$W29,N$4,[1]!juhe($T29,6),TRUE)</f>
        <v>133.63772630691528</v>
      </c>
      <c r="O28" s="206">
        <f ca="1">U29</f>
        <v>134.45252180099487</v>
      </c>
      <c r="P28" s="134"/>
      <c r="Q28" s="141"/>
      <c r="R28" s="135"/>
      <c r="S28" s="135"/>
      <c r="T28" s="135"/>
      <c r="U28" s="135"/>
      <c r="V28" s="135"/>
      <c r="W28" s="135"/>
      <c r="X28" s="135"/>
      <c r="Y28" s="135"/>
      <c r="Z28" s="135"/>
      <c r="AA28" s="127"/>
    </row>
    <row r="29" spans="1:29" s="115" customFormat="1" x14ac:dyDescent="0.2">
      <c r="A29" s="204"/>
      <c r="B29" s="205"/>
      <c r="C29" s="208"/>
      <c r="D29" s="115" t="s">
        <v>32</v>
      </c>
      <c r="E29" s="115">
        <f ca="1">E28*[1]!juhe($T29,2)/10</f>
        <v>1264.099457859993</v>
      </c>
      <c r="F29" s="115">
        <f ca="1">F28*[1]!juhe($T29,2)/10</f>
        <v>1262.1541804075241</v>
      </c>
      <c r="G29" s="115">
        <f ca="1">G28*[1]!juhe($T29,2)/10</f>
        <v>1260.2155762910843</v>
      </c>
      <c r="H29" s="115">
        <f ca="1">H28*[1]!juhe($T29,2)/10</f>
        <v>1258.284757733345</v>
      </c>
      <c r="I29" s="115">
        <f ca="1">I28*[1]!juhe($T29,2)/10</f>
        <v>1256.3595002889633</v>
      </c>
      <c r="J29" s="115">
        <f ca="1">J28*[1]!juhe($T29,2)/10</f>
        <v>1254.4420284032822</v>
      </c>
      <c r="K29" s="115">
        <f ca="1">K28*[1]!juhe($T29,2)/10</f>
        <v>1252.5312298536301</v>
      </c>
      <c r="L29" s="115">
        <f ca="1">L28*[1]!juhe($T29,2)/10</f>
        <v>1250.6282168626785</v>
      </c>
      <c r="M29" s="115">
        <f ca="1">M28*[1]!juhe($T29,2)/10</f>
        <v>1248.7307649850845</v>
      </c>
      <c r="N29" s="115">
        <f ca="1">N28*[1]!juhe($T29,2)/10</f>
        <v>1246.8399864435196</v>
      </c>
      <c r="O29" s="206"/>
      <c r="P29" s="134"/>
      <c r="Q29" s="141" t="s">
        <v>202</v>
      </c>
      <c r="R29" s="129" t="str">
        <f t="shared" ref="R29:Y29" ca="1" si="6">INDIRECT("'"&amp;$S$1&amp;"'!"&amp;$Q29&amp;R$4)</f>
        <v>117Y- 118Y</v>
      </c>
      <c r="S29" s="129">
        <f t="shared" ca="1" si="6"/>
        <v>440.31887592980098</v>
      </c>
      <c r="T29" s="129" t="str">
        <f t="shared" ca="1" si="6"/>
        <v>OPGW-2S 2/48B1 (0/93-55.3)</v>
      </c>
      <c r="U29" s="129">
        <f t="shared" ca="1" si="6"/>
        <v>134.45252180099487</v>
      </c>
      <c r="V29" s="129">
        <f t="shared" ca="1" si="6"/>
        <v>5</v>
      </c>
      <c r="W29" s="129">
        <f t="shared" ca="1" si="6"/>
        <v>0.2223930361377397</v>
      </c>
      <c r="X29" s="129">
        <f t="shared" ca="1" si="6"/>
        <v>-5</v>
      </c>
      <c r="Y29" s="129">
        <f t="shared" ca="1" si="6"/>
        <v>349.31308031082153</v>
      </c>
      <c r="Z29" s="129">
        <v>1</v>
      </c>
      <c r="AA29" s="127"/>
    </row>
    <row r="30" spans="1:29" s="115" customFormat="1" x14ac:dyDescent="0.2">
      <c r="A30" s="204"/>
      <c r="B30" s="205"/>
      <c r="C30" s="208"/>
      <c r="D30" s="115" t="s">
        <v>31</v>
      </c>
      <c r="E30" s="115">
        <f ca="1">[1]!ripe([1]!Olekuvorrand($C28,$T29,$Y29,$X29,$W29,E$4,[1]!juhe($T29,6),TRUE),[1]!juhe($T29,6),$C28,0)</f>
        <v>11.179568365214514</v>
      </c>
      <c r="F30" s="115">
        <f ca="1">[1]!ripe([1]!Olekuvorrand($C28,$T29,$Y29,$X29,$W29,F$4,[1]!juhe($T29,6),TRUE),[1]!juhe($T29,6),$C28,0)</f>
        <v>11.196798718373243</v>
      </c>
      <c r="G30" s="115">
        <f ca="1">[1]!ripe([1]!Olekuvorrand($C28,$T29,$Y29,$X29,$W29,G$4,[1]!juhe($T29,6),TRUE),[1]!juhe($T29,6),$C28,0)</f>
        <v>11.214022882631131</v>
      </c>
      <c r="H30" s="115">
        <f ca="1">[1]!ripe([1]!Olekuvorrand($C28,$T29,$Y29,$X29,$W29,H$4,[1]!juhe($T29,6),TRUE),[1]!juhe($T29,6),$C28,0)</f>
        <v>11.231230627822052</v>
      </c>
      <c r="I30" s="115">
        <f ca="1">[1]!ripe([1]!Olekuvorrand($C28,$T29,$Y29,$X29,$W29,I$4,[1]!juhe($T29,6),TRUE),[1]!juhe($T29,6),$C28,0)</f>
        <v>11.248441474216584</v>
      </c>
      <c r="J30" s="115">
        <f ca="1">[1]!ripe([1]!Olekuvorrand($C28,$T29,$Y29,$X29,$W29,J$4,[1]!juhe($T29,6),TRUE),[1]!juhe($T29,6),$C28,0)</f>
        <v>11.265635230321832</v>
      </c>
      <c r="K30" s="115">
        <f ca="1">[1]!ripe([1]!Olekuvorrand($C28,$T29,$Y29,$X29,$W29,K$4,[1]!juhe($T29,6),TRUE),[1]!juhe($T29,6),$C28,0)</f>
        <v>11.282821515937661</v>
      </c>
      <c r="L30" s="115">
        <f ca="1">[1]!ripe([1]!Olekuvorrand($C28,$T29,$Y29,$X29,$W29,L$4,[1]!juhe($T29,6),TRUE),[1]!juhe($T29,6),$C28,0)</f>
        <v>11.299989972262178</v>
      </c>
      <c r="M30" s="115">
        <f ca="1">[1]!ripe([1]!Olekuvorrand($C28,$T29,$Y29,$X29,$W29,M$4,[1]!juhe($T29,6),TRUE),[1]!juhe($T29,6),$C28,0)</f>
        <v>11.317160356616341</v>
      </c>
      <c r="N30" s="115">
        <f ca="1">[1]!ripe([1]!Olekuvorrand($C28,$T29,$Y29,$X29,$W29,N$4,[1]!juhe($T29,6),TRUE),[1]!juhe($T29,6),$C28,0)</f>
        <v>11.334322337453013</v>
      </c>
      <c r="O30" s="206"/>
      <c r="P30" s="134"/>
      <c r="Q30" s="141"/>
      <c r="R30" s="129"/>
      <c r="S30" s="129"/>
      <c r="T30" s="129"/>
      <c r="U30" s="129"/>
      <c r="V30" s="129"/>
      <c r="W30" s="129"/>
      <c r="X30" s="129"/>
      <c r="Y30" s="129"/>
      <c r="Z30" s="129"/>
      <c r="AA30" s="127"/>
    </row>
    <row r="31" spans="1:29" s="115" customFormat="1" x14ac:dyDescent="0.2">
      <c r="A31" s="204"/>
      <c r="B31" s="205"/>
      <c r="C31" s="208"/>
      <c r="D31" s="115" t="s">
        <v>195</v>
      </c>
      <c r="E31" s="115">
        <f ca="1">[1]!ripe([1]!Olekuvorrand($C28,$T29,$Y29,$X29,$W29,E$4,[1]!juhe($T29,6)),[1]!juhe($T29,6),$C28,0)</f>
        <v>11.179568365214514</v>
      </c>
      <c r="F31" s="115">
        <f ca="1">[1]!ripe([1]!Olekuvorrand($C28,$T29,$Y29,$X29,$W29,F$4,[1]!juhe($T29,6)),[1]!juhe($T29,6),$C28,0)</f>
        <v>11.196798718373243</v>
      </c>
      <c r="G31" s="115">
        <f ca="1">[1]!ripe([1]!Olekuvorrand($C28,$T29,$Y29,$X29,$W29,G$4,[1]!juhe($T29,6)),[1]!juhe($T29,6),$C28,0)</f>
        <v>11.214022882631131</v>
      </c>
      <c r="H31" s="115">
        <f ca="1">[1]!ripe([1]!Olekuvorrand($C28,$T29,$Y29,$X29,$W29,H$4,[1]!juhe($T29,6)),[1]!juhe($T29,6),$C28,0)</f>
        <v>11.231230627822052</v>
      </c>
      <c r="I31" s="115">
        <f ca="1">[1]!ripe([1]!Olekuvorrand($C28,$T29,$Y29,$X29,$W29,I$4,[1]!juhe($T29,6)),[1]!juhe($T29,6),$C28,0)</f>
        <v>11.248441474216584</v>
      </c>
      <c r="J31" s="115">
        <f ca="1">[1]!ripe([1]!Olekuvorrand($C28,$T29,$Y29,$X29,$W29,J$4,[1]!juhe($T29,6)),[1]!juhe($T29,6),$C28,0)</f>
        <v>11.265635230321832</v>
      </c>
      <c r="K31" s="115">
        <f ca="1">[1]!ripe([1]!Olekuvorrand($C28,$T29,$Y29,$X29,$W29,K$4,[1]!juhe($T29,6)),[1]!juhe($T29,6),$C28,0)</f>
        <v>11.282821515937661</v>
      </c>
      <c r="L31" s="115">
        <f ca="1">[1]!ripe([1]!Olekuvorrand($C28,$T29,$Y29,$X29,$W29,L$4,[1]!juhe($T29,6)),[1]!juhe($T29,6),$C28,0)</f>
        <v>11.299989972262178</v>
      </c>
      <c r="M31" s="115">
        <f ca="1">[1]!ripe([1]!Olekuvorrand($C28,$T29,$Y29,$X29,$W29,M$4,[1]!juhe($T29,6)),[1]!juhe($T29,6),$C28,0)</f>
        <v>11.317160356616341</v>
      </c>
      <c r="N31" s="115">
        <f ca="1">[1]!ripe([1]!Olekuvorrand($C28,$T29,$Y29,$X29,$W29,N$4,[1]!juhe($T29,6)),[1]!juhe($T29,6),$C28,0)</f>
        <v>11.334322337453013</v>
      </c>
      <c r="O31" s="206"/>
      <c r="P31" s="134"/>
      <c r="Q31" s="141"/>
      <c r="R31" s="129"/>
      <c r="S31" s="129"/>
      <c r="T31" s="129"/>
      <c r="U31" s="129"/>
      <c r="V31" s="129"/>
      <c r="W31" s="129"/>
      <c r="X31" s="129"/>
      <c r="Y31" s="129"/>
      <c r="Z31" s="129"/>
      <c r="AA31" s="127"/>
    </row>
    <row r="32" spans="1:29" x14ac:dyDescent="0.2">
      <c r="A32" s="105"/>
      <c r="B32" s="113" t="str">
        <f ca="1">INDIRECT("Visangud!C" &amp; R32)</f>
        <v>117Y-118Y</v>
      </c>
      <c r="C32" s="106">
        <f ca="1">INDIRECT("Visangud!"&amp;Q32&amp;R32)</f>
        <v>440.31887592980098</v>
      </c>
      <c r="D32" s="10" t="s">
        <v>31</v>
      </c>
      <c r="E32" s="12">
        <f ca="1">[1]!ripe(E$16,[1]!juhe($T$7,6),$C32,0)</f>
        <v>11.220400245320931</v>
      </c>
      <c r="F32" s="12">
        <f ca="1">[1]!ripe(F$16,[1]!juhe($T$7,6),$C32,0)</f>
        <v>11.237418871740658</v>
      </c>
      <c r="G32" s="12">
        <f ca="1">[1]!ripe(G$16,[1]!juhe($T$7,6),$C32,0)</f>
        <v>11.254439359734302</v>
      </c>
      <c r="H32" s="12">
        <f ca="1">[1]!ripe(H$16,[1]!juhe($T$7,6),$C32,0)</f>
        <v>11.271441493819434</v>
      </c>
      <c r="I32" s="12">
        <f ca="1">[1]!ripe(I$16,[1]!juhe($T$7,6),$C32,0)</f>
        <v>11.288434902365085</v>
      </c>
      <c r="J32" s="12">
        <f ca="1">[1]!ripe(J$16,[1]!juhe($T$7,6),$C32,0)</f>
        <v>11.305419273686123</v>
      </c>
      <c r="K32" s="12">
        <f ca="1">[1]!ripe(K$16,[1]!juhe($T$7,6),$C32,0)</f>
        <v>11.322394294505351</v>
      </c>
      <c r="L32" s="12">
        <f ca="1">[1]!ripe(L$16,[1]!juhe($T$7,6),$C32,0)</f>
        <v>11.339359649958274</v>
      </c>
      <c r="M32" s="12">
        <f ca="1">[1]!ripe(M$16,[1]!juhe($T$7,6),$C32,0)</f>
        <v>11.356315023598025</v>
      </c>
      <c r="N32" s="12">
        <f ca="1">[1]!ripe(N$16,[1]!juhe($T$7,6),$C32,0)</f>
        <v>11.373260097400475</v>
      </c>
      <c r="O32" s="124"/>
      <c r="Q32" s="139" t="s">
        <v>202</v>
      </c>
      <c r="R32" s="129">
        <v>29</v>
      </c>
      <c r="S32" s="129"/>
      <c r="T32" s="129"/>
      <c r="U32" s="129"/>
      <c r="V32" s="129"/>
      <c r="W32" s="129"/>
      <c r="X32" s="129"/>
      <c r="Y32" s="129"/>
      <c r="Z32" s="129"/>
      <c r="AC32" s="11"/>
    </row>
    <row r="33" spans="1:29" s="115" customFormat="1" hidden="1" x14ac:dyDescent="0.2">
      <c r="A33" s="204">
        <v>1</v>
      </c>
      <c r="B33" s="205" t="str">
        <f ca="1">R34</f>
        <v>118Y- 121Y</v>
      </c>
      <c r="C33" s="208">
        <f ca="1">S34</f>
        <v>352.77649774332502</v>
      </c>
      <c r="D33" s="115" t="s">
        <v>130</v>
      </c>
      <c r="E33" s="115">
        <f ca="1">[1]!Olekuvorrand($C33,$T34,$Y34,$X34,$W34,E$4,[1]!juhe($T34,6),TRUE)</f>
        <v>143.14204454421997</v>
      </c>
      <c r="F33" s="115">
        <f ca="1">[1]!Olekuvorrand($C33,$T34,$Y34,$X34,$W34,F$4,[1]!juhe($T34,6),TRUE)</f>
        <v>142.81874895095825</v>
      </c>
      <c r="G33" s="115">
        <f ca="1">[1]!Olekuvorrand($C33,$T34,$Y34,$X34,$W34,G$4,[1]!juhe($T34,6),TRUE)</f>
        <v>142.49700307846069</v>
      </c>
      <c r="H33" s="115">
        <f ca="1">[1]!Olekuvorrand($C33,$T34,$Y34,$X34,$W34,H$4,[1]!juhe($T34,6),TRUE)</f>
        <v>142.17668771743774</v>
      </c>
      <c r="I33" s="115">
        <f ca="1">[1]!Olekuvorrand($C33,$T34,$Y34,$X34,$W34,I$4,[1]!juhe($T34,6),TRUE)</f>
        <v>141.85768365859985</v>
      </c>
      <c r="J33" s="115">
        <f ca="1">[1]!Olekuvorrand($C33,$T34,$Y34,$X34,$W34,J$4,[1]!juhe($T34,6),TRUE)</f>
        <v>141.54022932052612</v>
      </c>
      <c r="K33" s="115">
        <f ca="1">[1]!Olekuvorrand($C33,$T34,$Y34,$X34,$W34,K$4,[1]!juhe($T34,6),TRUE)</f>
        <v>141.224205493927</v>
      </c>
      <c r="L33" s="115">
        <f ca="1">[1]!Olekuvorrand($C33,$T34,$Y34,$X34,$W34,L$4,[1]!juhe($T34,6),TRUE)</f>
        <v>140.90949296951294</v>
      </c>
      <c r="M33" s="115">
        <f ca="1">[1]!Olekuvorrand($C33,$T34,$Y34,$X34,$W34,M$4,[1]!juhe($T34,6),TRUE)</f>
        <v>140.59621095657349</v>
      </c>
      <c r="N33" s="115">
        <f ca="1">[1]!Olekuvorrand($C33,$T34,$Y34,$X34,$W34,N$4,[1]!juhe($T34,6),TRUE)</f>
        <v>140.28435945510864</v>
      </c>
      <c r="O33" s="206">
        <f ca="1">U34</f>
        <v>141.54022932052612</v>
      </c>
      <c r="P33" s="134"/>
      <c r="Q33" s="141"/>
      <c r="R33" s="135"/>
      <c r="S33" s="135"/>
      <c r="T33" s="135"/>
      <c r="U33" s="135"/>
      <c r="V33" s="135"/>
      <c r="W33" s="135"/>
      <c r="X33" s="135"/>
      <c r="Y33" s="135"/>
      <c r="Z33" s="135"/>
      <c r="AA33" s="127"/>
    </row>
    <row r="34" spans="1:29" s="115" customFormat="1" x14ac:dyDescent="0.2">
      <c r="A34" s="204"/>
      <c r="B34" s="205"/>
      <c r="C34" s="208"/>
      <c r="D34" s="115" t="s">
        <v>32</v>
      </c>
      <c r="E34" s="115">
        <f ca="1">E33*[1]!juhe($T34,2)/10</f>
        <v>1335.5152755975723</v>
      </c>
      <c r="F34" s="115">
        <f ca="1">F33*[1]!juhe($T34,2)/10</f>
        <v>1332.4989277124405</v>
      </c>
      <c r="G34" s="115">
        <f ca="1">G33*[1]!juhe($T34,2)/10</f>
        <v>1329.4970387220383</v>
      </c>
      <c r="H34" s="115">
        <f ca="1">H33*[1]!juhe($T34,2)/10</f>
        <v>1326.5084964036942</v>
      </c>
      <c r="I34" s="115">
        <f ca="1">I33*[1]!juhe($T34,2)/10</f>
        <v>1323.5321885347366</v>
      </c>
      <c r="J34" s="115">
        <f ca="1">J33*[1]!juhe($T34,2)/10</f>
        <v>1320.5703395605087</v>
      </c>
      <c r="K34" s="115">
        <f ca="1">K33*[1]!juhe($T34,2)/10</f>
        <v>1317.6218372583389</v>
      </c>
      <c r="L34" s="115">
        <f ca="1">L33*[1]!juhe($T34,2)/10</f>
        <v>1314.6855694055557</v>
      </c>
      <c r="M34" s="115">
        <f ca="1">M33*[1]!juhe($T34,2)/10</f>
        <v>1311.7626482248306</v>
      </c>
      <c r="N34" s="115">
        <f ca="1">N33*[1]!juhe($T34,2)/10</f>
        <v>1308.8530737161636</v>
      </c>
      <c r="O34" s="206"/>
      <c r="P34" s="134"/>
      <c r="Q34" s="141" t="s">
        <v>203</v>
      </c>
      <c r="R34" s="129" t="str">
        <f t="shared" ref="R34:Y34" ca="1" si="7">INDIRECT("'"&amp;$S$1&amp;"'!"&amp;$Q34&amp;R$4)</f>
        <v>118Y- 121Y</v>
      </c>
      <c r="S34" s="129">
        <f t="shared" ca="1" si="7"/>
        <v>352.77649774332502</v>
      </c>
      <c r="T34" s="129" t="str">
        <f t="shared" ca="1" si="7"/>
        <v>OPGW-2S 2/48B1 (0/93-55.3)</v>
      </c>
      <c r="U34" s="129">
        <f t="shared" ca="1" si="7"/>
        <v>141.54022932052612</v>
      </c>
      <c r="V34" s="129">
        <f t="shared" ca="1" si="7"/>
        <v>5</v>
      </c>
      <c r="W34" s="129">
        <f t="shared" ca="1" si="7"/>
        <v>0.22466542891832181</v>
      </c>
      <c r="X34" s="129">
        <f t="shared" ca="1" si="7"/>
        <v>-5</v>
      </c>
      <c r="Y34" s="129">
        <f t="shared" ca="1" si="7"/>
        <v>332.45760202407837</v>
      </c>
      <c r="Z34" s="129">
        <v>1</v>
      </c>
      <c r="AA34" s="127"/>
    </row>
    <row r="35" spans="1:29" s="115" customFormat="1" x14ac:dyDescent="0.2">
      <c r="A35" s="204"/>
      <c r="B35" s="205"/>
      <c r="C35" s="208"/>
      <c r="D35" s="115" t="s">
        <v>31</v>
      </c>
      <c r="E35" s="115">
        <f ca="1">[1]!ripe([1]!Olekuvorrand($C33,$T34,$Y34,$X34,$W34,E$4,[1]!juhe($T34,6),TRUE),[1]!juhe($T34,6),$C33,0)</f>
        <v>6.7923820092216305</v>
      </c>
      <c r="F35" s="115">
        <f ca="1">[1]!ripe([1]!Olekuvorrand($C33,$T34,$Y34,$X34,$W34,F$4,[1]!juhe($T34,6),TRUE),[1]!juhe($T34,6),$C33,0)</f>
        <v>6.8077577717700448</v>
      </c>
      <c r="G35" s="115">
        <f ca="1">[1]!ripe([1]!Olekuvorrand($C33,$T34,$Y34,$X34,$W34,G$4,[1]!juhe($T34,6),TRUE),[1]!juhe($T34,6),$C33,0)</f>
        <v>6.8231290983012007</v>
      </c>
      <c r="H35" s="115">
        <f ca="1">[1]!ripe([1]!Olekuvorrand($C33,$T34,$Y34,$X34,$W34,H$4,[1]!juhe($T34,6),TRUE),[1]!juhe($T34,6),$C33,0)</f>
        <v>6.8385011898551422</v>
      </c>
      <c r="I35" s="115">
        <f ca="1">[1]!ripe([1]!Olekuvorrand($C33,$T34,$Y34,$X34,$W34,I$4,[1]!juhe($T34,6),TRUE),[1]!juhe($T34,6),$C33,0)</f>
        <v>6.8538793461852681</v>
      </c>
      <c r="J35" s="115">
        <f ca="1">[1]!ripe([1]!Olekuvorrand($C33,$T34,$Y34,$X34,$W34,J$4,[1]!juhe($T34,6),TRUE),[1]!juhe($T34,6),$C33,0)</f>
        <v>6.8692516098980336</v>
      </c>
      <c r="K35" s="115">
        <f ca="1">[1]!ripe([1]!Olekuvorrand($C33,$T34,$Y34,$X34,$W34,K$4,[1]!juhe($T34,6),TRUE),[1]!juhe($T34,6),$C33,0)</f>
        <v>6.8846232465947299</v>
      </c>
      <c r="L35" s="115">
        <f ca="1">[1]!ripe([1]!Olekuvorrand($C33,$T34,$Y34,$X34,$W34,L$4,[1]!juhe($T34,6),TRUE),[1]!juhe($T34,6),$C33,0)</f>
        <v>6.8999996212868471</v>
      </c>
      <c r="M35" s="115">
        <f ca="1">[1]!ripe([1]!Olekuvorrand($C33,$T34,$Y34,$X34,$W34,M$4,[1]!juhe($T34,6),TRUE),[1]!juhe($T34,6),$C33,0)</f>
        <v>6.9153744721162616</v>
      </c>
      <c r="N35" s="115">
        <f ca="1">[1]!ripe([1]!Olekuvorrand($C33,$T34,$Y34,$X34,$W34,N$4,[1]!juhe($T34,6),TRUE),[1]!juhe($T34,6),$C33,0)</f>
        <v>6.9307473185311981</v>
      </c>
      <c r="O35" s="206"/>
      <c r="P35" s="134"/>
      <c r="Q35" s="141"/>
      <c r="R35" s="129"/>
      <c r="S35" s="129"/>
      <c r="T35" s="129"/>
      <c r="U35" s="129"/>
      <c r="V35" s="129"/>
      <c r="W35" s="129"/>
      <c r="X35" s="129"/>
      <c r="Y35" s="129"/>
      <c r="Z35" s="129"/>
      <c r="AA35" s="127"/>
    </row>
    <row r="36" spans="1:29" s="115" customFormat="1" x14ac:dyDescent="0.2">
      <c r="A36" s="204"/>
      <c r="B36" s="205"/>
      <c r="C36" s="208"/>
      <c r="D36" s="115" t="s">
        <v>195</v>
      </c>
      <c r="E36" s="115">
        <f ca="1">[1]!ripe([1]!Olekuvorrand($C33,$T34,$Y34,$X34,$W34,E$4,[1]!juhe($T34,6)),[1]!juhe($T34,6),$C33,0)</f>
        <v>6.7923820092216305</v>
      </c>
      <c r="F36" s="115">
        <f ca="1">[1]!ripe([1]!Olekuvorrand($C33,$T34,$Y34,$X34,$W34,F$4,[1]!juhe($T34,6)),[1]!juhe($T34,6),$C33,0)</f>
        <v>6.8077577717700448</v>
      </c>
      <c r="G36" s="115">
        <f ca="1">[1]!ripe([1]!Olekuvorrand($C33,$T34,$Y34,$X34,$W34,G$4,[1]!juhe($T34,6)),[1]!juhe($T34,6),$C33,0)</f>
        <v>6.8231290983012007</v>
      </c>
      <c r="H36" s="115">
        <f ca="1">[1]!ripe([1]!Olekuvorrand($C33,$T34,$Y34,$X34,$W34,H$4,[1]!juhe($T34,6)),[1]!juhe($T34,6),$C33,0)</f>
        <v>6.8385011898551422</v>
      </c>
      <c r="I36" s="115">
        <f ca="1">[1]!ripe([1]!Olekuvorrand($C33,$T34,$Y34,$X34,$W34,I$4,[1]!juhe($T34,6)),[1]!juhe($T34,6),$C33,0)</f>
        <v>6.8538793461852681</v>
      </c>
      <c r="J36" s="115">
        <f ca="1">[1]!ripe([1]!Olekuvorrand($C33,$T34,$Y34,$X34,$W34,J$4,[1]!juhe($T34,6)),[1]!juhe($T34,6),$C33,0)</f>
        <v>6.8692516098980336</v>
      </c>
      <c r="K36" s="115">
        <f ca="1">[1]!ripe([1]!Olekuvorrand($C33,$T34,$Y34,$X34,$W34,K$4,[1]!juhe($T34,6)),[1]!juhe($T34,6),$C33,0)</f>
        <v>6.8846232465947299</v>
      </c>
      <c r="L36" s="115">
        <f ca="1">[1]!ripe([1]!Olekuvorrand($C33,$T34,$Y34,$X34,$W34,L$4,[1]!juhe($T34,6)),[1]!juhe($T34,6),$C33,0)</f>
        <v>6.8999996212868471</v>
      </c>
      <c r="M36" s="115">
        <f ca="1">[1]!ripe([1]!Olekuvorrand($C33,$T34,$Y34,$X34,$W34,M$4,[1]!juhe($T34,6)),[1]!juhe($T34,6),$C33,0)</f>
        <v>6.9153744721162616</v>
      </c>
      <c r="N36" s="115">
        <f ca="1">[1]!ripe([1]!Olekuvorrand($C33,$T34,$Y34,$X34,$W34,N$4,[1]!juhe($T34,6)),[1]!juhe($T34,6),$C33,0)</f>
        <v>6.9307473185311981</v>
      </c>
      <c r="O36" s="206"/>
      <c r="P36" s="134"/>
      <c r="Q36" s="141"/>
      <c r="R36" s="129"/>
      <c r="S36" s="129"/>
      <c r="T36" s="129"/>
      <c r="U36" s="129"/>
      <c r="V36" s="129"/>
      <c r="W36" s="129"/>
      <c r="X36" s="129"/>
      <c r="Y36" s="129"/>
      <c r="Z36" s="129"/>
      <c r="AA36" s="127"/>
    </row>
    <row r="37" spans="1:29" x14ac:dyDescent="0.2">
      <c r="A37" s="105"/>
      <c r="B37" s="113" t="str">
        <f ca="1">INDIRECT("Visangud!C" &amp; R37)</f>
        <v>118Y-119Y</v>
      </c>
      <c r="C37" s="106">
        <f ca="1">INDIRECT("Visangud!"&amp;Q37&amp;R37)</f>
        <v>350.00766405881359</v>
      </c>
      <c r="D37" s="10" t="s">
        <v>31</v>
      </c>
      <c r="E37" s="12">
        <f ca="1">[1]!ripe(E$33,[1]!juhe($T$7,6),$C37,0)</f>
        <v>6.6861778195774146</v>
      </c>
      <c r="F37" s="12">
        <f ca="1">[1]!ripe(F$33,[1]!juhe($T$7,6),$C37,0)</f>
        <v>6.7013131700878432</v>
      </c>
      <c r="G37" s="12">
        <f ca="1">[1]!ripe(G$33,[1]!juhe($T$7,6),$C37,0)</f>
        <v>6.7164441539416027</v>
      </c>
      <c r="H37" s="12">
        <f ca="1">[1]!ripe(H$33,[1]!juhe($T$7,6),$C37,0)</f>
        <v>6.7315758908564183</v>
      </c>
      <c r="I37" s="12">
        <f ca="1">[1]!ripe(I$33,[1]!juhe($T$7,6),$C37,0)</f>
        <v>6.7467135977199151</v>
      </c>
      <c r="J37" s="12">
        <f ca="1">[1]!ripe(J$33,[1]!juhe($T$7,6),$C37,0)</f>
        <v>6.7618455041017187</v>
      </c>
      <c r="K37" s="12">
        <f ca="1">[1]!ripe(K$33,[1]!juhe($T$7,6),$C37,0)</f>
        <v>6.7769767932713378</v>
      </c>
      <c r="L37" s="12">
        <f ca="1">[1]!ripe(L$33,[1]!juhe($T$7,6),$C37,0)</f>
        <v>6.7921127463541255</v>
      </c>
      <c r="M37" s="12">
        <f ca="1">[1]!ripe(M$33,[1]!juhe($T$7,6),$C37,0)</f>
        <v>6.8072471994009911</v>
      </c>
      <c r="N37" s="12">
        <f ca="1">[1]!ripe(N$33,[1]!juhe($T$7,6),$C37,0)</f>
        <v>6.8223796793739622</v>
      </c>
      <c r="O37" s="124"/>
      <c r="Q37" s="139" t="s">
        <v>203</v>
      </c>
      <c r="R37" s="129">
        <v>30</v>
      </c>
      <c r="S37" s="129"/>
      <c r="T37" s="129"/>
      <c r="U37" s="129"/>
      <c r="V37" s="129"/>
      <c r="W37" s="129"/>
      <c r="X37" s="129"/>
      <c r="Y37" s="129"/>
      <c r="Z37" s="129"/>
      <c r="AC37" s="11"/>
    </row>
    <row r="38" spans="1:29" x14ac:dyDescent="0.2">
      <c r="A38" s="105"/>
      <c r="B38" s="113" t="str">
        <f t="shared" ref="B38:B39" ca="1" si="8">INDIRECT("Visangud!C" &amp; R38)</f>
        <v>119Y-120Y</v>
      </c>
      <c r="C38" s="106">
        <f t="shared" ref="C38:C39" ca="1" si="9">INDIRECT("Visangud!"&amp;Q38&amp;R38)</f>
        <v>354.20859631022307</v>
      </c>
      <c r="D38" s="10" t="s">
        <v>31</v>
      </c>
      <c r="E38" s="12">
        <f ca="1">[1]!ripe(E$33,[1]!juhe($T$7,6),$C38,0)</f>
        <v>6.8476413858885818</v>
      </c>
      <c r="F38" s="12">
        <f ca="1">[1]!ripe(F$33,[1]!juhe($T$7,6),$C38,0)</f>
        <v>6.8631422378464331</v>
      </c>
      <c r="G38" s="12">
        <f ca="1">[1]!ripe(G$33,[1]!juhe($T$7,6),$C38,0)</f>
        <v>6.8786386176978391</v>
      </c>
      <c r="H38" s="12">
        <f ca="1">[1]!ripe(H$33,[1]!juhe($T$7,6),$C38,0)</f>
        <v>6.8941357687958673</v>
      </c>
      <c r="I38" s="12">
        <f ca="1">[1]!ripe(I$33,[1]!juhe($T$7,6),$C38,0)</f>
        <v>6.9096390340100244</v>
      </c>
      <c r="J38" s="12">
        <f ca="1">[1]!ripe(J$33,[1]!juhe($T$7,6),$C38,0)</f>
        <v>6.9251363586674746</v>
      </c>
      <c r="K38" s="12">
        <f ca="1">[1]!ripe(K$33,[1]!juhe($T$7,6),$C38,0)</f>
        <v>6.9406330512077687</v>
      </c>
      <c r="L38" s="12">
        <f ca="1">[1]!ripe(L$33,[1]!juhe($T$7,6),$C38,0)</f>
        <v>6.9561345202894147</v>
      </c>
      <c r="M38" s="12">
        <f ca="1">[1]!ripe(M$33,[1]!juhe($T$7,6),$C38,0)</f>
        <v>6.9716344531109824</v>
      </c>
      <c r="N38" s="12">
        <f ca="1">[1]!ripe(N$33,[1]!juhe($T$7,6),$C38,0)</f>
        <v>6.9871323652111723</v>
      </c>
      <c r="O38" s="124"/>
      <c r="Q38" s="139" t="s">
        <v>203</v>
      </c>
      <c r="R38" s="129">
        <v>31</v>
      </c>
      <c r="S38" s="129"/>
      <c r="T38" s="129"/>
      <c r="U38" s="129"/>
      <c r="V38" s="129"/>
      <c r="W38" s="129"/>
      <c r="X38" s="129"/>
      <c r="Y38" s="129"/>
      <c r="Z38" s="129"/>
      <c r="AC38" s="11"/>
    </row>
    <row r="39" spans="1:29" x14ac:dyDescent="0.2">
      <c r="A39" s="105"/>
      <c r="B39" s="113" t="str">
        <f t="shared" ca="1" si="8"/>
        <v>120Y-121Y</v>
      </c>
      <c r="C39" s="106">
        <f t="shared" ca="1" si="9"/>
        <v>354.06492130690555</v>
      </c>
      <c r="D39" s="10" t="s">
        <v>31</v>
      </c>
      <c r="E39" s="12">
        <f ca="1">[1]!ripe(E$33,[1]!juhe($T$7,6),$C39,0)</f>
        <v>6.8420873966502729</v>
      </c>
      <c r="F39" s="12">
        <f ca="1">[1]!ripe(F$33,[1]!juhe($T$7,6),$C39,0)</f>
        <v>6.8575756761674684</v>
      </c>
      <c r="G39" s="12">
        <f ca="1">[1]!ripe(G$33,[1]!juhe($T$7,6),$C39,0)</f>
        <v>6.8730594872054569</v>
      </c>
      <c r="H39" s="12">
        <f ca="1">[1]!ripe(H$33,[1]!juhe($T$7,6),$C39,0)</f>
        <v>6.8885440688645243</v>
      </c>
      <c r="I39" s="12">
        <f ca="1">[1]!ripe(I$33,[1]!juhe($T$7,6),$C39,0)</f>
        <v>6.9040347596806804</v>
      </c>
      <c r="J39" s="12">
        <f ca="1">[1]!ripe(J$33,[1]!juhe($T$7,6),$C39,0)</f>
        <v>6.9195195147583988</v>
      </c>
      <c r="K39" s="12">
        <f ca="1">[1]!ripe(K$33,[1]!juhe($T$7,6),$C39,0)</f>
        <v>6.9350036382316604</v>
      </c>
      <c r="L39" s="12">
        <f ca="1">[1]!ripe(L$33,[1]!juhe($T$7,6),$C39,0)</f>
        <v>6.9504925343721133</v>
      </c>
      <c r="M39" s="12">
        <f ca="1">[1]!ripe(M$33,[1]!juhe($T$7,6),$C39,0)</f>
        <v>6.9659798954985188</v>
      </c>
      <c r="N39" s="12">
        <f ca="1">[1]!ripe(N$33,[1]!juhe($T$7,6),$C39,0)</f>
        <v>6.9814652375425137</v>
      </c>
      <c r="O39" s="124"/>
      <c r="Q39" s="139" t="s">
        <v>203</v>
      </c>
      <c r="R39" s="129">
        <v>32</v>
      </c>
      <c r="S39" s="129"/>
      <c r="T39" s="129"/>
      <c r="U39" s="129"/>
      <c r="V39" s="129"/>
      <c r="W39" s="129"/>
      <c r="X39" s="129"/>
      <c r="Y39" s="129"/>
      <c r="Z39" s="129"/>
      <c r="AC39" s="11"/>
    </row>
    <row r="40" spans="1:29" s="114" customFormat="1" hidden="1" x14ac:dyDescent="0.2">
      <c r="A40" s="187">
        <v>1</v>
      </c>
      <c r="B40" s="188" t="str">
        <f ca="1">R41</f>
        <v>121Y- 126Y</v>
      </c>
      <c r="C40" s="207">
        <f ca="1">S41</f>
        <v>429.81699666990465</v>
      </c>
      <c r="D40" s="118" t="s">
        <v>130</v>
      </c>
      <c r="E40" s="119">
        <f ca="1">[1]!Olekuvorrand($C40,$T41,$Y41,$X41,$W41,E$4,[1]!juhe($T41,6),TRUE)</f>
        <v>136.41005754470825</v>
      </c>
      <c r="F40" s="119">
        <f ca="1">[1]!Olekuvorrand($C40,$T41,$Y41,$X41,$W41,F$4,[1]!juhe($T41,6),TRUE)</f>
        <v>136.19023561477661</v>
      </c>
      <c r="G40" s="119">
        <f ca="1">[1]!Olekuvorrand($C40,$T41,$Y41,$X41,$W41,G$4,[1]!juhe($T41,6),TRUE)</f>
        <v>135.97124814987183</v>
      </c>
      <c r="H40" s="119">
        <f ca="1">[1]!Olekuvorrand($C40,$T41,$Y41,$X41,$W41,H$4,[1]!juhe($T41,6),TRUE)</f>
        <v>135.75297594070435</v>
      </c>
      <c r="I40" s="119">
        <f ca="1">[1]!Olekuvorrand($C40,$T41,$Y41,$X41,$W41,I$4,[1]!juhe($T41,6),TRUE)</f>
        <v>135.53553819656372</v>
      </c>
      <c r="J40" s="119">
        <f ca="1">[1]!Olekuvorrand($C40,$T41,$Y41,$X41,$W41,J$4,[1]!juhe($T41,6),TRUE)</f>
        <v>135.31893491744995</v>
      </c>
      <c r="K40" s="119">
        <f ca="1">[1]!Olekuvorrand($C40,$T41,$Y41,$X41,$W41,K$4,[1]!juhe($T41,6),TRUE)</f>
        <v>135.10304689407349</v>
      </c>
      <c r="L40" s="119">
        <f ca="1">[1]!Olekuvorrand($C40,$T41,$Y41,$X41,$W41,L$4,[1]!juhe($T41,6),TRUE)</f>
        <v>134.88811254501343</v>
      </c>
      <c r="M40" s="119">
        <f ca="1">[1]!Olekuvorrand($C40,$T41,$Y41,$X41,$W41,M$4,[1]!juhe($T41,6),TRUE)</f>
        <v>134.67377424240112</v>
      </c>
      <c r="N40" s="119">
        <f ca="1">[1]!Olekuvorrand($C40,$T41,$Y41,$X41,$W41,N$4,[1]!juhe($T41,6),TRUE)</f>
        <v>134.46038961410522</v>
      </c>
      <c r="O40" s="207">
        <f ca="1">U41</f>
        <v>135.31893491744995</v>
      </c>
      <c r="P40" s="136"/>
      <c r="Q40" s="142"/>
      <c r="R40" s="129"/>
      <c r="S40" s="129"/>
      <c r="T40" s="129"/>
      <c r="U40" s="129"/>
      <c r="V40" s="129"/>
      <c r="W40" s="129"/>
      <c r="X40" s="129"/>
      <c r="Y40" s="129"/>
      <c r="Z40" s="129"/>
      <c r="AA40" s="128"/>
    </row>
    <row r="41" spans="1:29" s="114" customFormat="1" x14ac:dyDescent="0.2">
      <c r="A41" s="187"/>
      <c r="B41" s="188"/>
      <c r="C41" s="207"/>
      <c r="D41" s="118" t="s">
        <v>32</v>
      </c>
      <c r="E41" s="119">
        <f ca="1">E40*[1]!juhe($T41,2)/10</f>
        <v>1272.705836892128</v>
      </c>
      <c r="F41" s="119">
        <f ca="1">F40*[1]!juhe($T41,2)/10</f>
        <v>1270.6548982858658</v>
      </c>
      <c r="G41" s="119">
        <f ca="1">G40*[1]!juhe($T41,2)/10</f>
        <v>1268.6117452383041</v>
      </c>
      <c r="H41" s="119">
        <f ca="1">H40*[1]!juhe($T41,2)/10</f>
        <v>1266.5752655267715</v>
      </c>
      <c r="I41" s="119">
        <f ca="1">I40*[1]!juhe($T41,2)/10</f>
        <v>1264.5465713739395</v>
      </c>
      <c r="J41" s="119">
        <f ca="1">J40*[1]!juhe($T41,2)/10</f>
        <v>1262.525662779808</v>
      </c>
      <c r="K41" s="119">
        <f ca="1">K40*[1]!juhe($T41,2)/10</f>
        <v>1260.5114275217056</v>
      </c>
      <c r="L41" s="119">
        <f ca="1">L40*[1]!juhe($T41,2)/10</f>
        <v>1258.5060900449753</v>
      </c>
      <c r="M41" s="119">
        <f ca="1">M40*[1]!juhe($T41,2)/10</f>
        <v>1256.5063136816025</v>
      </c>
      <c r="N41" s="119">
        <f ca="1">N40*[1]!juhe($T41,2)/10</f>
        <v>1254.5154350996017</v>
      </c>
      <c r="O41" s="207"/>
      <c r="P41" s="136"/>
      <c r="Q41" s="142" t="s">
        <v>204</v>
      </c>
      <c r="R41" s="129" t="str">
        <f t="shared" ref="R41:Y41" ca="1" si="10">INDIRECT("'"&amp;$S$1&amp;"'!"&amp;$Q41&amp;R$4)</f>
        <v>121Y- 126Y</v>
      </c>
      <c r="S41" s="129">
        <f t="shared" ca="1" si="10"/>
        <v>429.81699666990465</v>
      </c>
      <c r="T41" s="129" t="str">
        <f t="shared" ca="1" si="10"/>
        <v>OPGW-2S 2/48B1 (0/93-55.3)</v>
      </c>
      <c r="U41" s="129">
        <f t="shared" ca="1" si="10"/>
        <v>135.31893491744995</v>
      </c>
      <c r="V41" s="129">
        <f t="shared" ca="1" si="10"/>
        <v>5</v>
      </c>
      <c r="W41" s="129">
        <f t="shared" ca="1" si="10"/>
        <v>0.22263914472440335</v>
      </c>
      <c r="X41" s="129">
        <f t="shared" ca="1" si="10"/>
        <v>-5</v>
      </c>
      <c r="Y41" s="129">
        <f t="shared" ca="1" si="10"/>
        <v>347.81700372695923</v>
      </c>
      <c r="Z41" s="129">
        <v>1</v>
      </c>
      <c r="AA41" s="128"/>
    </row>
    <row r="42" spans="1:29" s="114" customFormat="1" x14ac:dyDescent="0.2">
      <c r="A42" s="187"/>
      <c r="B42" s="188"/>
      <c r="C42" s="207"/>
      <c r="D42" s="118" t="s">
        <v>31</v>
      </c>
      <c r="E42" s="120">
        <f ca="1">[1]!ripe([1]!Olekuvorrand($C40,$T41,$Y41,$X41,$W41,E$4,[1]!juhe($T41,6),TRUE),[1]!juhe($T41,6),$C40,0)</f>
        <v>10.580612485594882</v>
      </c>
      <c r="F42" s="120">
        <f ca="1">[1]!ripe([1]!Olekuvorrand($C40,$T41,$Y41,$X41,$W41,F$4,[1]!juhe($T41,6),TRUE),[1]!juhe($T41,6),$C40,0)</f>
        <v>10.597690440162941</v>
      </c>
      <c r="G42" s="120">
        <f ca="1">[1]!ripe([1]!Olekuvorrand($C40,$T41,$Y41,$X41,$W41,G$4,[1]!juhe($T41,6),TRUE),[1]!juhe($T41,6),$C40,0)</f>
        <v>10.614758470315749</v>
      </c>
      <c r="H42" s="120">
        <f ca="1">[1]!ripe([1]!Olekuvorrand($C40,$T41,$Y41,$X41,$W41,H$4,[1]!juhe($T41,6),TRUE),[1]!juhe($T41,6),$C40,0)</f>
        <v>10.631825549435304</v>
      </c>
      <c r="I42" s="120">
        <f ca="1">[1]!ripe([1]!Olekuvorrand($C40,$T41,$Y41,$X41,$W41,I$4,[1]!juhe($T41,6),TRUE),[1]!juhe($T41,6),$C40,0)</f>
        <v>10.648882036570162</v>
      </c>
      <c r="J42" s="120">
        <f ca="1">[1]!ripe([1]!Olekuvorrand($C40,$T41,$Y41,$X41,$W41,J$4,[1]!juhe($T41,6),TRUE),[1]!juhe($T41,6),$C40,0)</f>
        <v>10.665927565116659</v>
      </c>
      <c r="K42" s="120">
        <f ca="1">[1]!ripe([1]!Olekuvorrand($C40,$T41,$Y41,$X41,$W41,K$4,[1]!juhe($T41,6),TRUE),[1]!juhe($T41,6),$C40,0)</f>
        <v>10.68297119272126</v>
      </c>
      <c r="L42" s="120">
        <f ca="1">[1]!ripe([1]!Olekuvorrand($C40,$T41,$Y41,$X41,$W41,L$4,[1]!juhe($T41,6),TRUE),[1]!juhe($T41,6),$C40,0)</f>
        <v>10.699993726553281</v>
      </c>
      <c r="M42" s="120">
        <f ca="1">[1]!ripe([1]!Olekuvorrand($C40,$T41,$Y41,$X41,$W41,M$4,[1]!juhe($T41,6),TRUE),[1]!juhe($T41,6),$C40,0)</f>
        <v>10.717023163102551</v>
      </c>
      <c r="N42" s="120">
        <f ca="1">[1]!ripe([1]!Olekuvorrand($C40,$T41,$Y41,$X41,$W41,N$4,[1]!juhe($T41,6),TRUE),[1]!juhe($T41,6),$C40,0)</f>
        <v>10.734030759247856</v>
      </c>
      <c r="O42" s="207"/>
      <c r="P42" s="136"/>
      <c r="Q42" s="142"/>
      <c r="R42" s="129"/>
      <c r="S42" s="129"/>
      <c r="T42" s="129"/>
      <c r="U42" s="129"/>
      <c r="V42" s="129"/>
      <c r="W42" s="129"/>
      <c r="X42" s="129"/>
      <c r="Y42" s="129"/>
      <c r="Z42" s="129"/>
      <c r="AA42" s="128"/>
    </row>
    <row r="43" spans="1:29" s="114" customFormat="1" x14ac:dyDescent="0.2">
      <c r="A43" s="187"/>
      <c r="B43" s="188"/>
      <c r="C43" s="207"/>
      <c r="D43" s="118" t="s">
        <v>195</v>
      </c>
      <c r="E43" s="120">
        <f ca="1">[1]!ripe([1]!Olekuvorrand($C40,$T41,$Y41,$X41,$W41,E$4,[1]!juhe($T41,6)),[1]!juhe($T41,6),$C40,0)</f>
        <v>10.580612485594882</v>
      </c>
      <c r="F43" s="120">
        <f ca="1">[1]!ripe([1]!Olekuvorrand($C40,$T41,$Y41,$X41,$W41,F$4,[1]!juhe($T41,6)),[1]!juhe($T41,6),$C40,0)</f>
        <v>10.597690440162941</v>
      </c>
      <c r="G43" s="120">
        <f ca="1">[1]!ripe([1]!Olekuvorrand($C40,$T41,$Y41,$X41,$W41,G$4,[1]!juhe($T41,6)),[1]!juhe($T41,6),$C40,0)</f>
        <v>10.614758470315749</v>
      </c>
      <c r="H43" s="120">
        <f ca="1">[1]!ripe([1]!Olekuvorrand($C40,$T41,$Y41,$X41,$W41,H$4,[1]!juhe($T41,6)),[1]!juhe($T41,6),$C40,0)</f>
        <v>10.631825549435304</v>
      </c>
      <c r="I43" s="120">
        <f ca="1">[1]!ripe([1]!Olekuvorrand($C40,$T41,$Y41,$X41,$W41,I$4,[1]!juhe($T41,6)),[1]!juhe($T41,6),$C40,0)</f>
        <v>10.648882036570162</v>
      </c>
      <c r="J43" s="120">
        <f ca="1">[1]!ripe([1]!Olekuvorrand($C40,$T41,$Y41,$X41,$W41,J$4,[1]!juhe($T41,6)),[1]!juhe($T41,6),$C40,0)</f>
        <v>10.665927565116659</v>
      </c>
      <c r="K43" s="120">
        <f ca="1">[1]!ripe([1]!Olekuvorrand($C40,$T41,$Y41,$X41,$W41,K$4,[1]!juhe($T41,6)),[1]!juhe($T41,6),$C40,0)</f>
        <v>10.68297119272126</v>
      </c>
      <c r="L43" s="120">
        <f ca="1">[1]!ripe([1]!Olekuvorrand($C40,$T41,$Y41,$X41,$W41,L$4,[1]!juhe($T41,6)),[1]!juhe($T41,6),$C40,0)</f>
        <v>10.699993726553281</v>
      </c>
      <c r="M43" s="120">
        <f ca="1">[1]!ripe([1]!Olekuvorrand($C40,$T41,$Y41,$X41,$W41,M$4,[1]!juhe($T41,6)),[1]!juhe($T41,6),$C40,0)</f>
        <v>10.717023163102551</v>
      </c>
      <c r="N43" s="120">
        <f ca="1">[1]!ripe([1]!Olekuvorrand($C40,$T41,$Y41,$X41,$W41,N$4,[1]!juhe($T41,6)),[1]!juhe($T41,6),$C40,0)</f>
        <v>10.734030759247856</v>
      </c>
      <c r="O43" s="207"/>
      <c r="P43" s="136"/>
      <c r="Q43" s="142"/>
      <c r="R43" s="129"/>
      <c r="S43" s="129"/>
      <c r="T43" s="129"/>
      <c r="U43" s="129"/>
      <c r="V43" s="129"/>
      <c r="W43" s="129"/>
      <c r="X43" s="129"/>
      <c r="Y43" s="129"/>
      <c r="Z43" s="129"/>
      <c r="AA43" s="128"/>
      <c r="AC43" s="121"/>
    </row>
    <row r="44" spans="1:29" x14ac:dyDescent="0.2">
      <c r="A44" s="105"/>
      <c r="B44" s="113" t="str">
        <f ca="1">INDIRECT("Visangud!C" &amp; R44)</f>
        <v>121Y-122Y</v>
      </c>
      <c r="C44" s="106">
        <f ca="1">INDIRECT("Visangud!"&amp;Q44&amp;R44)</f>
        <v>449.09595110651054</v>
      </c>
      <c r="D44" s="10" t="s">
        <v>31</v>
      </c>
      <c r="E44" s="12">
        <f ca="1">[1]!ripe(E$40,[1]!juhe($T$7,6),$C44,0)</f>
        <v>11.551062068072683</v>
      </c>
      <c r="F44" s="12">
        <f ca="1">[1]!ripe(F$40,[1]!juhe($T$7,6),$C44,0)</f>
        <v>11.569706405863142</v>
      </c>
      <c r="G44" s="12">
        <f ca="1">[1]!ripe(G$40,[1]!juhe($T$7,6),$C44,0)</f>
        <v>11.588339908974918</v>
      </c>
      <c r="H44" s="12">
        <f ca="1">[1]!ripe(H$40,[1]!juhe($T$7,6),$C44,0)</f>
        <v>11.606972373825046</v>
      </c>
      <c r="I44" s="12">
        <f ca="1">[1]!ripe(I$40,[1]!juhe($T$7,6),$C44,0)</f>
        <v>11.625593275197843</v>
      </c>
      <c r="J44" s="12">
        <f ca="1">[1]!ripe(J$40,[1]!juhe($T$7,6),$C44,0)</f>
        <v>11.644202212864895</v>
      </c>
      <c r="K44" s="12">
        <f ca="1">[1]!ripe(K$40,[1]!juhe($T$7,6),$C44,0)</f>
        <v>11.662809075236417</v>
      </c>
      <c r="L44" s="12">
        <f ca="1">[1]!ripe(L$40,[1]!juhe($T$7,6),$C44,0)</f>
        <v>11.6813929091229</v>
      </c>
      <c r="M44" s="12">
        <f ca="1">[1]!ripe(M$40,[1]!juhe($T$7,6),$C44,0)</f>
        <v>11.699984278841121</v>
      </c>
      <c r="N44" s="12">
        <f ca="1">[1]!ripe(N$40,[1]!juhe($T$7,6),$C44,0)</f>
        <v>11.718551804962186</v>
      </c>
      <c r="O44" s="124"/>
      <c r="Q44" s="139" t="s">
        <v>204</v>
      </c>
      <c r="R44" s="129">
        <v>33</v>
      </c>
      <c r="S44" s="129"/>
      <c r="T44" s="129"/>
      <c r="U44" s="129"/>
      <c r="V44" s="129"/>
      <c r="W44" s="129"/>
      <c r="X44" s="129"/>
      <c r="Y44" s="129"/>
      <c r="Z44" s="129"/>
      <c r="AC44" s="11"/>
    </row>
    <row r="45" spans="1:29" x14ac:dyDescent="0.2">
      <c r="A45" s="105"/>
      <c r="B45" s="113" t="str">
        <f t="shared" ref="B45:B48" ca="1" si="11">INDIRECT("Visangud!C" &amp; R45)</f>
        <v>122Y-123Y</v>
      </c>
      <c r="C45" s="106">
        <f t="shared" ref="C45:C48" ca="1" si="12">INDIRECT("Visangud!"&amp;Q45&amp;R45)</f>
        <v>441.34479763573052</v>
      </c>
      <c r="D45" s="10" t="s">
        <v>31</v>
      </c>
      <c r="E45" s="12">
        <f ca="1">[1]!ripe(E$40,[1]!juhe($T$7,6),$C45,0)</f>
        <v>11.155772821239468</v>
      </c>
      <c r="F45" s="12">
        <f ca="1">[1]!ripe(F$40,[1]!juhe($T$7,6),$C45,0)</f>
        <v>11.173779130578563</v>
      </c>
      <c r="G45" s="12">
        <f ca="1">[1]!ripe(G$40,[1]!juhe($T$7,6),$C45,0)</f>
        <v>11.191774976012844</v>
      </c>
      <c r="H45" s="12">
        <f ca="1">[1]!ripe(H$40,[1]!juhe($T$7,6),$C45,0)</f>
        <v>11.209769818715863</v>
      </c>
      <c r="I45" s="12">
        <f ca="1">[1]!ripe(I$40,[1]!juhe($T$7,6),$C45,0)</f>
        <v>11.227753493655658</v>
      </c>
      <c r="J45" s="12">
        <f ca="1">[1]!ripe(J$40,[1]!juhe($T$7,6),$C45,0)</f>
        <v>11.245725614300049</v>
      </c>
      <c r="K45" s="12">
        <f ca="1">[1]!ripe(K$40,[1]!juhe($T$7,6),$C45,0)</f>
        <v>11.26369573066766</v>
      </c>
      <c r="L45" s="12">
        <f ca="1">[1]!ripe(L$40,[1]!juhe($T$7,6),$C45,0)</f>
        <v>11.28164360660872</v>
      </c>
      <c r="M45" s="12">
        <f ca="1">[1]!ripe(M$40,[1]!juhe($T$7,6),$C45,0)</f>
        <v>11.299598760497592</v>
      </c>
      <c r="N45" s="12">
        <f ca="1">[1]!ripe(N$40,[1]!juhe($T$7,6),$C45,0)</f>
        <v>11.317530886741769</v>
      </c>
      <c r="O45" s="124"/>
      <c r="Q45" s="139" t="s">
        <v>204</v>
      </c>
      <c r="R45" s="129">
        <v>34</v>
      </c>
      <c r="S45" s="129"/>
      <c r="T45" s="129"/>
      <c r="U45" s="129"/>
      <c r="V45" s="129"/>
      <c r="W45" s="129"/>
      <c r="X45" s="129"/>
      <c r="Y45" s="129"/>
      <c r="Z45" s="129"/>
      <c r="AC45" s="11"/>
    </row>
    <row r="46" spans="1:29" x14ac:dyDescent="0.2">
      <c r="A46" s="105"/>
      <c r="B46" s="113" t="str">
        <f t="shared" ca="1" si="11"/>
        <v>123Y-124Y</v>
      </c>
      <c r="C46" s="106">
        <f t="shared" ca="1" si="12"/>
        <v>449.20141629336644</v>
      </c>
      <c r="D46" s="10" t="s">
        <v>31</v>
      </c>
      <c r="E46" s="12">
        <f ca="1">[1]!ripe(E$40,[1]!juhe($T$7,6),$C46,0)</f>
        <v>11.556487981892877</v>
      </c>
      <c r="F46" s="12">
        <f ca="1">[1]!ripe(F$40,[1]!juhe($T$7,6),$C46,0)</f>
        <v>11.575141077542092</v>
      </c>
      <c r="G46" s="12">
        <f ca="1">[1]!ripe(G$40,[1]!juhe($T$7,6),$C46,0)</f>
        <v>11.59378333342322</v>
      </c>
      <c r="H46" s="12">
        <f ca="1">[1]!ripe(H$40,[1]!juhe($T$7,6),$C46,0)</f>
        <v>11.612424550554994</v>
      </c>
      <c r="I46" s="12">
        <f ca="1">[1]!ripe(I$40,[1]!juhe($T$7,6),$C46,0)</f>
        <v>11.631054198777692</v>
      </c>
      <c r="J46" s="12">
        <f ca="1">[1]!ripe(J$40,[1]!juhe($T$7,6),$C46,0)</f>
        <v>11.6496718776749</v>
      </c>
      <c r="K46" s="12">
        <f ca="1">[1]!ripe(K$40,[1]!juhe($T$7,6),$C46,0)</f>
        <v>11.668287480301741</v>
      </c>
      <c r="L46" s="12">
        <f ca="1">[1]!ripe(L$40,[1]!juhe($T$7,6),$C46,0)</f>
        <v>11.686880043626307</v>
      </c>
      <c r="M46" s="12">
        <f ca="1">[1]!ripe(M$40,[1]!juhe($T$7,6),$C46,0)</f>
        <v>11.70548014632244</v>
      </c>
      <c r="N46" s="12">
        <f ca="1">[1]!ripe(N$40,[1]!juhe($T$7,6),$C46,0)</f>
        <v>11.724056394221293</v>
      </c>
      <c r="O46" s="124"/>
      <c r="Q46" s="139" t="s">
        <v>204</v>
      </c>
      <c r="R46" s="129">
        <v>35</v>
      </c>
      <c r="S46" s="129"/>
      <c r="T46" s="129"/>
      <c r="U46" s="129"/>
      <c r="V46" s="129"/>
      <c r="W46" s="129"/>
      <c r="X46" s="129"/>
      <c r="Y46" s="129"/>
      <c r="Z46" s="129"/>
      <c r="AC46" s="11"/>
    </row>
    <row r="47" spans="1:29" x14ac:dyDescent="0.2">
      <c r="A47" s="105"/>
      <c r="B47" s="113" t="str">
        <f t="shared" ca="1" si="11"/>
        <v>124Y-125Y</v>
      </c>
      <c r="C47" s="106">
        <f t="shared" ca="1" si="12"/>
        <v>436.49370213105294</v>
      </c>
      <c r="D47" s="10" t="s">
        <v>31</v>
      </c>
      <c r="E47" s="12">
        <f ca="1">[1]!ripe(E$40,[1]!juhe($T$7,6),$C47,0)</f>
        <v>10.911880522539287</v>
      </c>
      <c r="F47" s="12">
        <f ca="1">[1]!ripe(F$40,[1]!juhe($T$7,6),$C47,0)</f>
        <v>10.92949317020687</v>
      </c>
      <c r="G47" s="12">
        <f ca="1">[1]!ripe(G$40,[1]!juhe($T$7,6),$C47,0)</f>
        <v>10.947095582736022</v>
      </c>
      <c r="H47" s="12">
        <f ca="1">[1]!ripe(H$40,[1]!juhe($T$7,6),$C47,0)</f>
        <v>10.964697014456053</v>
      </c>
      <c r="I47" s="12">
        <f ca="1">[1]!ripe(I$40,[1]!juhe($T$7,6),$C47,0)</f>
        <v>10.982287522567299</v>
      </c>
      <c r="J47" s="12">
        <f ca="1">[1]!ripe(J$40,[1]!juhe($T$7,6),$C47,0)</f>
        <v>10.999866728988112</v>
      </c>
      <c r="K47" s="12">
        <f ca="1">[1]!ripe(K$40,[1]!juhe($T$7,6),$C47,0)</f>
        <v>11.017443974950504</v>
      </c>
      <c r="L47" s="12">
        <f ca="1">[1]!ripe(L$40,[1]!juhe($T$7,6),$C47,0)</f>
        <v>11.034999466716107</v>
      </c>
      <c r="M47" s="12">
        <f ca="1">[1]!ripe(M$40,[1]!juhe($T$7,6),$C47,0)</f>
        <v>11.052562077315899</v>
      </c>
      <c r="N47" s="12">
        <f ca="1">[1]!ripe(N$40,[1]!juhe($T$7,6),$C47,0)</f>
        <v>11.07010216371126</v>
      </c>
      <c r="O47" s="124"/>
      <c r="Q47" s="139" t="s">
        <v>204</v>
      </c>
      <c r="R47" s="129">
        <v>36</v>
      </c>
      <c r="S47" s="129"/>
      <c r="T47" s="129"/>
      <c r="U47" s="129"/>
      <c r="V47" s="129"/>
      <c r="W47" s="129"/>
      <c r="X47" s="129"/>
      <c r="Y47" s="129"/>
      <c r="Z47" s="129"/>
      <c r="AC47" s="11"/>
    </row>
    <row r="48" spans="1:29" x14ac:dyDescent="0.2">
      <c r="A48" s="105"/>
      <c r="B48" s="113" t="str">
        <f t="shared" ca="1" si="11"/>
        <v>125Y-126Y</v>
      </c>
      <c r="C48" s="106">
        <f t="shared" ca="1" si="12"/>
        <v>347.58182475472358</v>
      </c>
      <c r="D48" s="10" t="s">
        <v>31</v>
      </c>
      <c r="E48" s="12">
        <f ca="1">[1]!ripe(E$40,[1]!juhe($T$7,6),$C48,0)</f>
        <v>6.9192298227022118</v>
      </c>
      <c r="F48" s="12">
        <f ca="1">[1]!ripe(F$40,[1]!juhe($T$7,6),$C48,0)</f>
        <v>6.9303980128914793</v>
      </c>
      <c r="G48" s="12">
        <f ca="1">[1]!ripe(G$40,[1]!juhe($T$7,6),$C48,0)</f>
        <v>6.9415597129734801</v>
      </c>
      <c r="H48" s="12">
        <f ca="1">[1]!ripe(H$40,[1]!juhe($T$7,6),$C48,0)</f>
        <v>6.9527207911238449</v>
      </c>
      <c r="I48" s="12">
        <f ca="1">[1]!ripe(I$40,[1]!juhe($T$7,6),$C48,0)</f>
        <v>6.9638749426074877</v>
      </c>
      <c r="J48" s="12">
        <f ca="1">[1]!ripe(J$40,[1]!juhe($T$7,6),$C48,0)</f>
        <v>6.9750219276826151</v>
      </c>
      <c r="K48" s="12">
        <f ca="1">[1]!ripe(K$40,[1]!juhe($T$7,6),$C48,0)</f>
        <v>6.9861676696299124</v>
      </c>
      <c r="L48" s="12">
        <f ca="1">[1]!ripe(L$40,[1]!juhe($T$7,6),$C48,0)</f>
        <v>6.9972996172282986</v>
      </c>
      <c r="M48" s="12">
        <f ca="1">[1]!ripe(M$40,[1]!juhe($T$7,6),$C48,0)</f>
        <v>7.0084360788836095</v>
      </c>
      <c r="N48" s="12">
        <f ca="1">[1]!ripe(N$40,[1]!juhe($T$7,6),$C48,0)</f>
        <v>7.0195582579277138</v>
      </c>
      <c r="O48" s="124"/>
      <c r="Q48" s="139" t="s">
        <v>204</v>
      </c>
      <c r="R48" s="129">
        <v>37</v>
      </c>
      <c r="S48" s="129"/>
      <c r="T48" s="129"/>
      <c r="U48" s="129"/>
      <c r="V48" s="129"/>
      <c r="W48" s="129"/>
      <c r="X48" s="129"/>
      <c r="Y48" s="129"/>
      <c r="Z48" s="129"/>
      <c r="AC48" s="11"/>
    </row>
    <row r="49" spans="1:29" s="114" customFormat="1" hidden="1" x14ac:dyDescent="0.2">
      <c r="A49" s="187">
        <v>1</v>
      </c>
      <c r="B49" s="188" t="str">
        <f ca="1">R50</f>
        <v>126Y- 128Y</v>
      </c>
      <c r="C49" s="207">
        <f ca="1">S50</f>
        <v>421.89254548697357</v>
      </c>
      <c r="D49" s="118" t="s">
        <v>130</v>
      </c>
      <c r="E49" s="119">
        <f ca="1">[1]!Olekuvorrand($C49,$T50,$Y50,$X50,$W50,E$4,[1]!juhe($T50,6),TRUE)</f>
        <v>136.57695055007935</v>
      </c>
      <c r="F49" s="119">
        <f ca="1">[1]!Olekuvorrand($C49,$T50,$Y50,$X50,$W50,F$4,[1]!juhe($T50,6),TRUE)</f>
        <v>136.35021448135376</v>
      </c>
      <c r="G49" s="119">
        <f ca="1">[1]!Olekuvorrand($C49,$T50,$Y50,$X50,$W50,G$4,[1]!juhe($T50,6),TRUE)</f>
        <v>136.12419366836548</v>
      </c>
      <c r="H49" s="119">
        <f ca="1">[1]!Olekuvorrand($C49,$T50,$Y50,$X50,$W50,H$4,[1]!juhe($T50,6),TRUE)</f>
        <v>135.8991265296936</v>
      </c>
      <c r="I49" s="119">
        <f ca="1">[1]!Olekuvorrand($C49,$T50,$Y50,$X50,$W50,I$4,[1]!juhe($T50,6),TRUE)</f>
        <v>135.67477464675903</v>
      </c>
      <c r="J49" s="119">
        <f ca="1">[1]!Olekuvorrand($C49,$T50,$Y50,$X50,$W50,J$4,[1]!juhe($T50,6),TRUE)</f>
        <v>135.45137643814087</v>
      </c>
      <c r="K49" s="119">
        <f ca="1">[1]!Olekuvorrand($C49,$T50,$Y50,$X50,$W50,K$4,[1]!juhe($T50,6),TRUE)</f>
        <v>135.22881269454956</v>
      </c>
      <c r="L49" s="119">
        <f ca="1">[1]!Olekuvorrand($C49,$T50,$Y50,$X50,$W50,L$4,[1]!juhe($T50,6),TRUE)</f>
        <v>135.00708341598511</v>
      </c>
      <c r="M49" s="119">
        <f ca="1">[1]!Olekuvorrand($C49,$T50,$Y50,$X50,$W50,M$4,[1]!juhe($T50,6),TRUE)</f>
        <v>134.78618860244751</v>
      </c>
      <c r="N49" s="119">
        <f ca="1">[1]!Olekuvorrand($C49,$T50,$Y50,$X50,$W50,N$4,[1]!juhe($T50,6),TRUE)</f>
        <v>134.56612825393677</v>
      </c>
      <c r="O49" s="207">
        <f ca="1">U50</f>
        <v>135.45137643814087</v>
      </c>
      <c r="P49" s="136"/>
      <c r="Q49" s="142"/>
      <c r="R49" s="129"/>
      <c r="S49" s="129"/>
      <c r="T49" s="129"/>
      <c r="U49" s="129"/>
      <c r="V49" s="129"/>
      <c r="W49" s="129"/>
      <c r="X49" s="129"/>
      <c r="Y49" s="129"/>
      <c r="Z49" s="129"/>
      <c r="AA49" s="128"/>
    </row>
    <row r="50" spans="1:29" s="114" customFormat="1" x14ac:dyDescent="0.2">
      <c r="A50" s="187"/>
      <c r="B50" s="188"/>
      <c r="C50" s="207"/>
      <c r="D50" s="118" t="s">
        <v>32</v>
      </c>
      <c r="E50" s="119">
        <f ca="1">E49*[1]!juhe($T50,2)/10</f>
        <v>1274.2629486322403</v>
      </c>
      <c r="F50" s="119">
        <f ca="1">F49*[1]!juhe($T50,2)/10</f>
        <v>1272.1475011110306</v>
      </c>
      <c r="G50" s="119">
        <f ca="1">G49*[1]!juhe($T50,2)/10</f>
        <v>1270.0387269258499</v>
      </c>
      <c r="H50" s="119">
        <f ca="1">H49*[1]!juhe($T50,2)/10</f>
        <v>1267.9388505220413</v>
      </c>
      <c r="I50" s="119">
        <f ca="1">I49*[1]!juhe($T50,2)/10</f>
        <v>1265.8456474542618</v>
      </c>
      <c r="J50" s="119">
        <f ca="1">J49*[1]!juhe($T50,2)/10</f>
        <v>1263.7613421678543</v>
      </c>
      <c r="K50" s="119">
        <f ca="1">K49*[1]!juhe($T50,2)/10</f>
        <v>1261.6848224401474</v>
      </c>
      <c r="L50" s="119">
        <f ca="1">L49*[1]!juhe($T50,2)/10</f>
        <v>1259.6160882711411</v>
      </c>
      <c r="M50" s="119">
        <f ca="1">M49*[1]!juhe($T50,2)/10</f>
        <v>1257.5551396608353</v>
      </c>
      <c r="N50" s="119">
        <f ca="1">N49*[1]!juhe($T50,2)/10</f>
        <v>1255.50197660923</v>
      </c>
      <c r="O50" s="207"/>
      <c r="P50" s="136"/>
      <c r="Q50" s="142" t="s">
        <v>205</v>
      </c>
      <c r="R50" s="129" t="str">
        <f t="shared" ref="R50:Y50" ca="1" si="13">INDIRECT("'"&amp;$S$1&amp;"'!"&amp;$Q50&amp;R$4)</f>
        <v>126Y- 128Y</v>
      </c>
      <c r="S50" s="129">
        <f t="shared" ca="1" si="13"/>
        <v>421.89254548697357</v>
      </c>
      <c r="T50" s="129" t="str">
        <f t="shared" ca="1" si="13"/>
        <v>OPGW-2S 2/48B1 (0/93-55.3)</v>
      </c>
      <c r="U50" s="129">
        <f t="shared" ca="1" si="13"/>
        <v>135.45137643814087</v>
      </c>
      <c r="V50" s="129">
        <f t="shared" ca="1" si="13"/>
        <v>5</v>
      </c>
      <c r="W50" s="129">
        <f t="shared" ca="1" si="13"/>
        <v>0.22282909455255631</v>
      </c>
      <c r="X50" s="129">
        <f t="shared" ca="1" si="13"/>
        <v>-5</v>
      </c>
      <c r="Y50" s="129">
        <f t="shared" ca="1" si="13"/>
        <v>345.96377611160278</v>
      </c>
      <c r="Z50" s="129">
        <v>1</v>
      </c>
      <c r="AA50" s="128"/>
    </row>
    <row r="51" spans="1:29" s="114" customFormat="1" x14ac:dyDescent="0.2">
      <c r="A51" s="187"/>
      <c r="B51" s="188"/>
      <c r="C51" s="207"/>
      <c r="D51" s="118" t="s">
        <v>31</v>
      </c>
      <c r="E51" s="120">
        <f ca="1">[1]!ripe([1]!Olekuvorrand($C49,$T50,$Y50,$X50,$W50,E$4,[1]!juhe($T50,6),TRUE),[1]!juhe($T50,6),$C49,0)</f>
        <v>10.181606826121506</v>
      </c>
      <c r="F51" s="120">
        <f ca="1">[1]!ripe([1]!Olekuvorrand($C49,$T50,$Y50,$X50,$W50,F$4,[1]!juhe($T50,6),TRUE),[1]!juhe($T50,6),$C49,0)</f>
        <v>10.198537767622739</v>
      </c>
      <c r="G51" s="120">
        <f ca="1">[1]!ripe([1]!Olekuvorrand($C49,$T50,$Y50,$X50,$W50,G$4,[1]!juhe($T50,6),TRUE),[1]!juhe($T50,6),$C49,0)</f>
        <v>10.215471434852722</v>
      </c>
      <c r="H51" s="120">
        <f ca="1">[1]!ripe([1]!Olekuvorrand($C49,$T50,$Y50,$X50,$W50,H$4,[1]!juhe($T50,6),TRUE),[1]!juhe($T50,6),$C49,0)</f>
        <v>10.232389622516894</v>
      </c>
      <c r="I51" s="120">
        <f ca="1">[1]!ripe([1]!Olekuvorrand($C49,$T50,$Y50,$X50,$W50,I$4,[1]!juhe($T50,6),TRUE),[1]!juhe($T50,6),$C49,0)</f>
        <v>10.249309907696722</v>
      </c>
      <c r="J51" s="120">
        <f ca="1">[1]!ripe([1]!Olekuvorrand($C49,$T50,$Y50,$X50,$W50,J$4,[1]!juhe($T50,6),TRUE),[1]!juhe($T50,6),$C49,0)</f>
        <v>10.266213962370522</v>
      </c>
      <c r="K51" s="120">
        <f ca="1">[1]!ripe([1]!Olekuvorrand($C49,$T50,$Y50,$X50,$W50,K$4,[1]!juhe($T50,6),TRUE),[1]!juhe($T50,6),$C49,0)</f>
        <v>10.283110413403746</v>
      </c>
      <c r="L51" s="120">
        <f ca="1">[1]!ripe([1]!Olekuvorrand($C49,$T50,$Y50,$X50,$W50,L$4,[1]!juhe($T50,6),TRUE),[1]!juhe($T50,6),$C49,0)</f>
        <v>10.299998909886092</v>
      </c>
      <c r="M51" s="120">
        <f ca="1">[1]!ripe([1]!Olekuvorrand($C49,$T50,$Y50,$X50,$W50,M$4,[1]!juhe($T50,6),TRUE),[1]!juhe($T50,6),$C49,0)</f>
        <v>10.31687909888934</v>
      </c>
      <c r="N51" s="120">
        <f ca="1">[1]!ripe([1]!Olekuvorrand($C49,$T50,$Y50,$X50,$W50,N$4,[1]!juhe($T50,6),TRUE),[1]!juhe($T50,6),$C49,0)</f>
        <v>10.333750625472616</v>
      </c>
      <c r="O51" s="207"/>
      <c r="P51" s="136"/>
      <c r="Q51" s="142"/>
      <c r="R51" s="129"/>
      <c r="S51" s="129"/>
      <c r="T51" s="129"/>
      <c r="U51" s="129"/>
      <c r="V51" s="129"/>
      <c r="W51" s="129"/>
      <c r="X51" s="129"/>
      <c r="Y51" s="129"/>
      <c r="Z51" s="129"/>
      <c r="AA51" s="128"/>
    </row>
    <row r="52" spans="1:29" s="114" customFormat="1" x14ac:dyDescent="0.2">
      <c r="A52" s="187"/>
      <c r="B52" s="188"/>
      <c r="C52" s="207"/>
      <c r="D52" s="118" t="s">
        <v>195</v>
      </c>
      <c r="E52" s="120">
        <f ca="1">[1]!ripe([1]!Olekuvorrand($C49,$T50,$Y50,$X50,$W50,E$4,[1]!juhe($T50,6)),[1]!juhe($T50,6),$C49,0)</f>
        <v>10.181606826121506</v>
      </c>
      <c r="F52" s="120">
        <f ca="1">[1]!ripe([1]!Olekuvorrand($C49,$T50,$Y50,$X50,$W50,F$4,[1]!juhe($T50,6)),[1]!juhe($T50,6),$C49,0)</f>
        <v>10.198537767622739</v>
      </c>
      <c r="G52" s="120">
        <f ca="1">[1]!ripe([1]!Olekuvorrand($C49,$T50,$Y50,$X50,$W50,G$4,[1]!juhe($T50,6)),[1]!juhe($T50,6),$C49,0)</f>
        <v>10.215471434852722</v>
      </c>
      <c r="H52" s="120">
        <f ca="1">[1]!ripe([1]!Olekuvorrand($C49,$T50,$Y50,$X50,$W50,H$4,[1]!juhe($T50,6)),[1]!juhe($T50,6),$C49,0)</f>
        <v>10.232389622516894</v>
      </c>
      <c r="I52" s="120">
        <f ca="1">[1]!ripe([1]!Olekuvorrand($C49,$T50,$Y50,$X50,$W50,I$4,[1]!juhe($T50,6)),[1]!juhe($T50,6),$C49,0)</f>
        <v>10.249309907696722</v>
      </c>
      <c r="J52" s="120">
        <f ca="1">[1]!ripe([1]!Olekuvorrand($C49,$T50,$Y50,$X50,$W50,J$4,[1]!juhe($T50,6)),[1]!juhe($T50,6),$C49,0)</f>
        <v>10.266213962370522</v>
      </c>
      <c r="K52" s="120">
        <f ca="1">[1]!ripe([1]!Olekuvorrand($C49,$T50,$Y50,$X50,$W50,K$4,[1]!juhe($T50,6)),[1]!juhe($T50,6),$C49,0)</f>
        <v>10.283110413403746</v>
      </c>
      <c r="L52" s="120">
        <f ca="1">[1]!ripe([1]!Olekuvorrand($C49,$T50,$Y50,$X50,$W50,L$4,[1]!juhe($T50,6)),[1]!juhe($T50,6),$C49,0)</f>
        <v>10.299998909886092</v>
      </c>
      <c r="M52" s="120">
        <f ca="1">[1]!ripe([1]!Olekuvorrand($C49,$T50,$Y50,$X50,$W50,M$4,[1]!juhe($T50,6)),[1]!juhe($T50,6),$C49,0)</f>
        <v>10.31687909888934</v>
      </c>
      <c r="N52" s="120">
        <f ca="1">[1]!ripe([1]!Olekuvorrand($C49,$T50,$Y50,$X50,$W50,N$4,[1]!juhe($T50,6)),[1]!juhe($T50,6),$C49,0)</f>
        <v>10.333750625472616</v>
      </c>
      <c r="O52" s="207"/>
      <c r="P52" s="136"/>
      <c r="Q52" s="142"/>
      <c r="R52" s="129"/>
      <c r="S52" s="129"/>
      <c r="T52" s="129"/>
      <c r="U52" s="129"/>
      <c r="V52" s="129"/>
      <c r="W52" s="129"/>
      <c r="X52" s="129"/>
      <c r="Y52" s="129"/>
      <c r="Z52" s="129"/>
      <c r="AA52" s="128"/>
      <c r="AC52" s="121"/>
    </row>
    <row r="53" spans="1:29" x14ac:dyDescent="0.2">
      <c r="A53" s="105"/>
      <c r="B53" s="113" t="str">
        <f ca="1">INDIRECT("Visangud!C" &amp; R53)</f>
        <v>126Y-127Y</v>
      </c>
      <c r="C53" s="106">
        <f ca="1">INDIRECT("Visangud!"&amp;Q53&amp;R53)</f>
        <v>417.31009393500989</v>
      </c>
      <c r="D53" s="10" t="s">
        <v>31</v>
      </c>
      <c r="E53" s="12">
        <f ca="1">[1]!ripe(E$49,[1]!juhe($T$7,6),$C53,0)</f>
        <v>9.9616297922301573</v>
      </c>
      <c r="F53" s="12">
        <f ca="1">[1]!ripe(F$49,[1]!juhe($T$7,6),$C53,0)</f>
        <v>9.9781949350557948</v>
      </c>
      <c r="G53" s="12">
        <f ca="1">[1]!ripe(G$49,[1]!juhe($T$7,6),$C53,0)</f>
        <v>9.9947627447198979</v>
      </c>
      <c r="H53" s="12">
        <f ca="1">[1]!ripe(H$49,[1]!juhe($T$7,6),$C53,0)</f>
        <v>10.011315409259407</v>
      </c>
      <c r="I53" s="12">
        <f ca="1">[1]!ripe(I$49,[1]!juhe($T$7,6),$C53,0)</f>
        <v>10.027870125997039</v>
      </c>
      <c r="J53" s="12">
        <f ca="1">[1]!ripe(J$49,[1]!juhe($T$7,6),$C53,0)</f>
        <v>10.044408962894178</v>
      </c>
      <c r="K53" s="12">
        <f ca="1">[1]!ripe(K$49,[1]!juhe($T$7,6),$C53,0)</f>
        <v>10.060940360429948</v>
      </c>
      <c r="L53" s="12">
        <f ca="1">[1]!ripe(L$49,[1]!juhe($T$7,6),$C53,0)</f>
        <v>10.077463975275583</v>
      </c>
      <c r="M53" s="12">
        <f ca="1">[1]!ripe(M$49,[1]!juhe($T$7,6),$C53,0)</f>
        <v>10.093979462127994</v>
      </c>
      <c r="N53" s="12">
        <f ca="1">[1]!ripe(N$49,[1]!juhe($T$7,6),$C53,0)</f>
        <v>10.110486473714925</v>
      </c>
      <c r="O53" s="124"/>
      <c r="Q53" s="139" t="s">
        <v>205</v>
      </c>
      <c r="R53" s="129">
        <v>38</v>
      </c>
      <c r="S53" s="129"/>
      <c r="T53" s="129"/>
      <c r="U53" s="129"/>
      <c r="V53" s="129"/>
      <c r="W53" s="129"/>
      <c r="X53" s="129"/>
      <c r="Y53" s="129"/>
      <c r="Z53" s="129"/>
      <c r="AC53" s="11"/>
    </row>
    <row r="54" spans="1:29" x14ac:dyDescent="0.2">
      <c r="A54" s="105"/>
      <c r="B54" s="113" t="str">
        <f t="shared" ref="B54" ca="1" si="14">INDIRECT("Visangud!C" &amp; R54)</f>
        <v>127Y-128Y</v>
      </c>
      <c r="C54" s="106">
        <f t="shared" ref="C54" ca="1" si="15">INDIRECT("Visangud!"&amp;Q54&amp;R54)</f>
        <v>426.33034198842131</v>
      </c>
      <c r="D54" s="10" t="s">
        <v>31</v>
      </c>
      <c r="E54" s="12">
        <f ca="1">[1]!ripe(E$49,[1]!juhe($T$7,6),$C54,0)</f>
        <v>10.396929611379042</v>
      </c>
      <c r="F54" s="12">
        <f ca="1">[1]!ripe(F$49,[1]!juhe($T$7,6),$C54,0)</f>
        <v>10.41421861202981</v>
      </c>
      <c r="G54" s="12">
        <f ca="1">[1]!ripe(G$49,[1]!juhe($T$7,6),$C54,0)</f>
        <v>10.431510396053621</v>
      </c>
      <c r="H54" s="12">
        <f ca="1">[1]!ripe(H$49,[1]!juhe($T$7,6),$C54,0)</f>
        <v>10.448786373146474</v>
      </c>
      <c r="I54" s="12">
        <f ca="1">[1]!ripe(I$49,[1]!juhe($T$7,6),$C54,0)</f>
        <v>10.466064492113686</v>
      </c>
      <c r="J54" s="12">
        <f ca="1">[1]!ripe(J$49,[1]!juhe($T$7,6),$C54,0)</f>
        <v>10.483326037328682</v>
      </c>
      <c r="K54" s="12">
        <f ca="1">[1]!ripe(K$49,[1]!juhe($T$7,6),$C54,0)</f>
        <v>10.500579818099695</v>
      </c>
      <c r="L54" s="12">
        <f ca="1">[1]!ripe(L$49,[1]!juhe($T$7,6),$C54,0)</f>
        <v>10.517825476095297</v>
      </c>
      <c r="M54" s="12">
        <f ca="1">[1]!ripe(M$49,[1]!juhe($T$7,6),$C54,0)</f>
        <v>10.535062650923466</v>
      </c>
      <c r="N54" s="12">
        <f ca="1">[1]!ripe(N$49,[1]!juhe($T$7,6),$C54,0)</f>
        <v>10.552290980136965</v>
      </c>
      <c r="O54" s="124"/>
      <c r="Q54" s="139" t="s">
        <v>205</v>
      </c>
      <c r="R54" s="129">
        <v>39</v>
      </c>
      <c r="S54" s="129"/>
      <c r="T54" s="129"/>
      <c r="U54" s="129"/>
      <c r="V54" s="129"/>
      <c r="W54" s="129"/>
      <c r="X54" s="129"/>
      <c r="Y54" s="129"/>
      <c r="Z54" s="129"/>
      <c r="AC54" s="11"/>
    </row>
    <row r="55" spans="1:29" s="114" customFormat="1" hidden="1" x14ac:dyDescent="0.2">
      <c r="A55" s="187">
        <v>1</v>
      </c>
      <c r="B55" s="188" t="str">
        <f ca="1">R56</f>
        <v>128Y- 133Y</v>
      </c>
      <c r="C55" s="207">
        <f ca="1">S56</f>
        <v>408.37030439381806</v>
      </c>
      <c r="D55" s="118" t="s">
        <v>130</v>
      </c>
      <c r="E55" s="119">
        <f ca="1">[1]!Olekuvorrand($C55,$T56,$Y56,$X56,$W56,E$4,[1]!juhe($T56,6),TRUE)</f>
        <v>138.85325193405151</v>
      </c>
      <c r="F55" s="119">
        <f ca="1">[1]!Olekuvorrand($C55,$T56,$Y56,$X56,$W56,F$4,[1]!juhe($T56,6),TRUE)</f>
        <v>138.60613107681274</v>
      </c>
      <c r="G55" s="119">
        <f ca="1">[1]!Olekuvorrand($C55,$T56,$Y56,$X56,$W56,G$4,[1]!juhe($T56,6),TRUE)</f>
        <v>138.35984468460083</v>
      </c>
      <c r="H55" s="119">
        <f ca="1">[1]!Olekuvorrand($C55,$T56,$Y56,$X56,$W56,H$4,[1]!juhe($T56,6),TRUE)</f>
        <v>138.11463117599487</v>
      </c>
      <c r="I55" s="119">
        <f ca="1">[1]!Olekuvorrand($C55,$T56,$Y56,$X56,$W56,I$4,[1]!juhe($T56,6),TRUE)</f>
        <v>137.87037134170532</v>
      </c>
      <c r="J55" s="119">
        <f ca="1">[1]!Olekuvorrand($C55,$T56,$Y56,$X56,$W56,J$4,[1]!juhe($T56,6),TRUE)</f>
        <v>137.62706518173218</v>
      </c>
      <c r="K55" s="119">
        <f ca="1">[1]!Olekuvorrand($C55,$T56,$Y56,$X56,$W56,K$4,[1]!juhe($T56,6),TRUE)</f>
        <v>137.38471269607544</v>
      </c>
      <c r="L55" s="119">
        <f ca="1">[1]!Olekuvorrand($C55,$T56,$Y56,$X56,$W56,L$4,[1]!juhe($T56,6),TRUE)</f>
        <v>137.14331388473511</v>
      </c>
      <c r="M55" s="119">
        <f ca="1">[1]!Olekuvorrand($C55,$T56,$Y56,$X56,$W56,M$4,[1]!juhe($T56,6),TRUE)</f>
        <v>136.90286874771118</v>
      </c>
      <c r="N55" s="119">
        <f ca="1">[1]!Olekuvorrand($C55,$T56,$Y56,$X56,$W56,N$4,[1]!juhe($T56,6),TRUE)</f>
        <v>136.66337728500366</v>
      </c>
      <c r="O55" s="207">
        <f ca="1">U56</f>
        <v>137.62706518173218</v>
      </c>
      <c r="P55" s="136"/>
      <c r="Q55" s="142"/>
      <c r="R55" s="129"/>
      <c r="S55" s="129"/>
      <c r="T55" s="129"/>
      <c r="U55" s="129"/>
      <c r="V55" s="129"/>
      <c r="W55" s="129"/>
      <c r="X55" s="129"/>
      <c r="Y55" s="129"/>
      <c r="Z55" s="129"/>
      <c r="AA55" s="128"/>
    </row>
    <row r="56" spans="1:29" s="114" customFormat="1" x14ac:dyDescent="0.2">
      <c r="A56" s="187"/>
      <c r="B56" s="188"/>
      <c r="C56" s="207"/>
      <c r="D56" s="118" t="s">
        <v>32</v>
      </c>
      <c r="E56" s="119">
        <f ca="1">E55*[1]!juhe($T56,2)/10</f>
        <v>1295.5008405447006</v>
      </c>
      <c r="F56" s="119">
        <f ca="1">F55*[1]!juhe($T56,2)/10</f>
        <v>1293.1952029466629</v>
      </c>
      <c r="G56" s="119">
        <f ca="1">G55*[1]!juhe($T56,2)/10</f>
        <v>1290.8973509073257</v>
      </c>
      <c r="H56" s="119">
        <f ca="1">H55*[1]!juhe($T56,2)/10</f>
        <v>1288.6095088720322</v>
      </c>
      <c r="I56" s="119">
        <f ca="1">I55*[1]!juhe($T56,2)/10</f>
        <v>1286.3305646181107</v>
      </c>
      <c r="J56" s="119">
        <f ca="1">J55*[1]!juhe($T56,2)/10</f>
        <v>1284.0605181455612</v>
      </c>
      <c r="K56" s="119">
        <f ca="1">K55*[1]!juhe($T56,2)/10</f>
        <v>1281.7993694543839</v>
      </c>
      <c r="L56" s="119">
        <f ca="1">L55*[1]!juhe($T56,2)/10</f>
        <v>1279.5471185445786</v>
      </c>
      <c r="M56" s="119">
        <f ca="1">M55*[1]!juhe($T56,2)/10</f>
        <v>1277.3037654161453</v>
      </c>
      <c r="N56" s="119">
        <f ca="1">N55*[1]!juhe($T56,2)/10</f>
        <v>1275.0693100690842</v>
      </c>
      <c r="O56" s="207"/>
      <c r="P56" s="136"/>
      <c r="Q56" s="142" t="s">
        <v>206</v>
      </c>
      <c r="R56" s="129" t="str">
        <f t="shared" ref="R56:Y56" ca="1" si="16">INDIRECT("'"&amp;$S$1&amp;"'!"&amp;$Q56&amp;R$4)</f>
        <v>128Y- 133Y</v>
      </c>
      <c r="S56" s="129">
        <f t="shared" ca="1" si="16"/>
        <v>408.37030439381806</v>
      </c>
      <c r="T56" s="129" t="str">
        <f t="shared" ca="1" si="16"/>
        <v>OPGW-2S 2/48B1 (0/93-55.3)</v>
      </c>
      <c r="U56" s="129">
        <f t="shared" ca="1" si="16"/>
        <v>137.62706518173218</v>
      </c>
      <c r="V56" s="129">
        <f t="shared" ca="1" si="16"/>
        <v>5</v>
      </c>
      <c r="W56" s="129">
        <f t="shared" ca="1" si="16"/>
        <v>0.22316209387784955</v>
      </c>
      <c r="X56" s="129">
        <f t="shared" ca="1" si="16"/>
        <v>-5</v>
      </c>
      <c r="Y56" s="129">
        <f t="shared" ca="1" si="16"/>
        <v>344.96992826461792</v>
      </c>
      <c r="Z56" s="129">
        <v>1</v>
      </c>
      <c r="AA56" s="128"/>
    </row>
    <row r="57" spans="1:29" s="114" customFormat="1" x14ac:dyDescent="0.2">
      <c r="A57" s="187"/>
      <c r="B57" s="188"/>
      <c r="C57" s="207"/>
      <c r="D57" s="118" t="s">
        <v>31</v>
      </c>
      <c r="E57" s="120">
        <f ca="1">[1]!ripe([1]!Olekuvorrand($C55,$T56,$Y56,$X56,$W56,E$4,[1]!juhe($T56,6),TRUE),[1]!juhe($T56,6),$C55,0)</f>
        <v>9.3830122352563698</v>
      </c>
      <c r="F57" s="120">
        <f ca="1">[1]!ripe([1]!Olekuvorrand($C55,$T56,$Y56,$X56,$W56,F$4,[1]!juhe($T56,6),TRUE),[1]!juhe($T56,6),$C55,0)</f>
        <v>9.3997412068324788</v>
      </c>
      <c r="G57" s="120">
        <f ca="1">[1]!ripe([1]!Olekuvorrand($C55,$T56,$Y56,$X56,$W56,G$4,[1]!juhe($T56,6),TRUE),[1]!juhe($T56,6),$C55,0)</f>
        <v>9.4164731448802108</v>
      </c>
      <c r="H57" s="120">
        <f ca="1">[1]!ripe([1]!Olekuvorrand($C55,$T56,$Y56,$X56,$W56,H$4,[1]!juhe($T56,6),TRUE),[1]!juhe($T56,6),$C55,0)</f>
        <v>9.4331914780422306</v>
      </c>
      <c r="I57" s="120">
        <f ca="1">[1]!ripe([1]!Olekuvorrand($C55,$T56,$Y56,$X56,$W56,I$4,[1]!juhe($T56,6),TRUE),[1]!juhe($T56,6),$C55,0)</f>
        <v>9.4499039142591279</v>
      </c>
      <c r="J57" s="120">
        <f ca="1">[1]!ripe([1]!Olekuvorrand($C55,$T56,$Y56,$X56,$W56,J$4,[1]!juhe($T56,6),TRUE),[1]!juhe($T56,6),$C55,0)</f>
        <v>9.466610074711344</v>
      </c>
      <c r="K57" s="120">
        <f ca="1">[1]!ripe([1]!Olekuvorrand($C55,$T56,$Y56,$X56,$W56,K$4,[1]!juhe($T56,6),TRUE),[1]!juhe($T56,6),$C55,0)</f>
        <v>9.4833095781519106</v>
      </c>
      <c r="L57" s="120">
        <f ca="1">[1]!ripe([1]!Olekuvorrand($C55,$T56,$Y56,$X56,$W56,L$4,[1]!juhe($T56,6),TRUE),[1]!juhe($T56,6),$C55,0)</f>
        <v>9.5000020409114327</v>
      </c>
      <c r="M57" s="120">
        <f ca="1">[1]!ripe([1]!Olekuvorrand($C55,$T56,$Y56,$X56,$W56,M$4,[1]!juhe($T56,6),TRUE),[1]!juhe($T56,6),$C55,0)</f>
        <v>9.5166870769033665</v>
      </c>
      <c r="N57" s="120">
        <f ca="1">[1]!ripe([1]!Olekuvorrand($C55,$T56,$Y56,$X56,$W56,N$4,[1]!juhe($T56,6),TRUE),[1]!juhe($T56,6),$C55,0)</f>
        <v>9.5333642976296193</v>
      </c>
      <c r="O57" s="207"/>
      <c r="P57" s="136"/>
      <c r="Q57" s="142"/>
      <c r="R57" s="129"/>
      <c r="S57" s="129"/>
      <c r="T57" s="129"/>
      <c r="U57" s="129"/>
      <c r="V57" s="129"/>
      <c r="W57" s="129"/>
      <c r="X57" s="129"/>
      <c r="Y57" s="129"/>
      <c r="Z57" s="129"/>
      <c r="AA57" s="128"/>
    </row>
    <row r="58" spans="1:29" s="114" customFormat="1" x14ac:dyDescent="0.2">
      <c r="A58" s="187"/>
      <c r="B58" s="188"/>
      <c r="C58" s="207"/>
      <c r="D58" s="118" t="s">
        <v>195</v>
      </c>
      <c r="E58" s="120">
        <f ca="1">[1]!ripe([1]!Olekuvorrand($C55,$T56,$Y56,$X56,$W56,E$4,[1]!juhe($T56,6)),[1]!juhe($T56,6),$C55,0)</f>
        <v>9.3830122352563698</v>
      </c>
      <c r="F58" s="120">
        <f ca="1">[1]!ripe([1]!Olekuvorrand($C55,$T56,$Y56,$X56,$W56,F$4,[1]!juhe($T56,6)),[1]!juhe($T56,6),$C55,0)</f>
        <v>9.3997412068324788</v>
      </c>
      <c r="G58" s="120">
        <f ca="1">[1]!ripe([1]!Olekuvorrand($C55,$T56,$Y56,$X56,$W56,G$4,[1]!juhe($T56,6)),[1]!juhe($T56,6),$C55,0)</f>
        <v>9.4164731448802108</v>
      </c>
      <c r="H58" s="120">
        <f ca="1">[1]!ripe([1]!Olekuvorrand($C55,$T56,$Y56,$X56,$W56,H$4,[1]!juhe($T56,6)),[1]!juhe($T56,6),$C55,0)</f>
        <v>9.4331914780422306</v>
      </c>
      <c r="I58" s="120">
        <f ca="1">[1]!ripe([1]!Olekuvorrand($C55,$T56,$Y56,$X56,$W56,I$4,[1]!juhe($T56,6)),[1]!juhe($T56,6),$C55,0)</f>
        <v>9.4499039142591279</v>
      </c>
      <c r="J58" s="120">
        <f ca="1">[1]!ripe([1]!Olekuvorrand($C55,$T56,$Y56,$X56,$W56,J$4,[1]!juhe($T56,6)),[1]!juhe($T56,6),$C55,0)</f>
        <v>9.466610074711344</v>
      </c>
      <c r="K58" s="120">
        <f ca="1">[1]!ripe([1]!Olekuvorrand($C55,$T56,$Y56,$X56,$W56,K$4,[1]!juhe($T56,6)),[1]!juhe($T56,6),$C55,0)</f>
        <v>9.4833095781519106</v>
      </c>
      <c r="L58" s="120">
        <f ca="1">[1]!ripe([1]!Olekuvorrand($C55,$T56,$Y56,$X56,$W56,L$4,[1]!juhe($T56,6)),[1]!juhe($T56,6),$C55,0)</f>
        <v>9.5000020409114327</v>
      </c>
      <c r="M58" s="120">
        <f ca="1">[1]!ripe([1]!Olekuvorrand($C55,$T56,$Y56,$X56,$W56,M$4,[1]!juhe($T56,6)),[1]!juhe($T56,6),$C55,0)</f>
        <v>9.5166870769033665</v>
      </c>
      <c r="N58" s="120">
        <f ca="1">[1]!ripe([1]!Olekuvorrand($C55,$T56,$Y56,$X56,$W56,N$4,[1]!juhe($T56,6)),[1]!juhe($T56,6),$C55,0)</f>
        <v>9.5333642976296193</v>
      </c>
      <c r="O58" s="207"/>
      <c r="P58" s="136"/>
      <c r="Q58" s="142"/>
      <c r="R58" s="129"/>
      <c r="S58" s="129"/>
      <c r="T58" s="129"/>
      <c r="U58" s="129"/>
      <c r="V58" s="129"/>
      <c r="W58" s="129"/>
      <c r="X58" s="129"/>
      <c r="Y58" s="129"/>
      <c r="Z58" s="129"/>
      <c r="AA58" s="128"/>
      <c r="AC58" s="121"/>
    </row>
    <row r="59" spans="1:29" x14ac:dyDescent="0.2">
      <c r="A59" s="105"/>
      <c r="B59" s="113" t="str">
        <f ca="1">INDIRECT("Visangud!C" &amp; R59)</f>
        <v>128Y-129Y</v>
      </c>
      <c r="C59" s="106">
        <f ca="1">INDIRECT("Visangud!"&amp;Q59&amp;R59)</f>
        <v>358.28273639717588</v>
      </c>
      <c r="D59" s="10" t="s">
        <v>31</v>
      </c>
      <c r="E59" s="12">
        <f ca="1">[1]!ripe(E$55,[1]!juhe($T$7,6),$C59,0)</f>
        <v>7.2224698902136639</v>
      </c>
      <c r="F59" s="12">
        <f ca="1">[1]!ripe(F$55,[1]!juhe($T$7,6),$C59,0)</f>
        <v>7.2353468310588109</v>
      </c>
      <c r="G59" s="12">
        <f ca="1">[1]!ripe(G$55,[1]!juhe($T$7,6),$C59,0)</f>
        <v>7.2482260553126787</v>
      </c>
      <c r="H59" s="12">
        <f ca="1">[1]!ripe(H$55,[1]!juhe($T$7,6),$C59,0)</f>
        <v>7.261094807356244</v>
      </c>
      <c r="I59" s="12">
        <f ca="1">[1]!ripe(I$55,[1]!juhe($T$7,6),$C59,0)</f>
        <v>7.2739590202915227</v>
      </c>
      <c r="J59" s="12">
        <f ca="1">[1]!ripe(J$55,[1]!juhe($T$7,6),$C59,0)</f>
        <v>7.2868184025263476</v>
      </c>
      <c r="K59" s="12">
        <f ca="1">[1]!ripe(K$55,[1]!juhe($T$7,6),$C59,0)</f>
        <v>7.299672660600085</v>
      </c>
      <c r="L59" s="12">
        <f ca="1">[1]!ripe(L$55,[1]!juhe($T$7,6),$C59,0)</f>
        <v>7.3125214991874579</v>
      </c>
      <c r="M59" s="12">
        <f ca="1">[1]!ripe(M$55,[1]!juhe($T$7,6),$C59,0)</f>
        <v>7.3253646211026213</v>
      </c>
      <c r="N59" s="12">
        <f ca="1">[1]!ripe(N$55,[1]!juhe($T$7,6),$C59,0)</f>
        <v>7.338201727303467</v>
      </c>
      <c r="O59" s="124"/>
      <c r="Q59" s="139" t="s">
        <v>206</v>
      </c>
      <c r="R59" s="129">
        <v>40</v>
      </c>
      <c r="S59" s="129"/>
      <c r="T59" s="129"/>
      <c r="U59" s="129"/>
      <c r="V59" s="129"/>
      <c r="W59" s="129"/>
      <c r="X59" s="129"/>
      <c r="Y59" s="129"/>
      <c r="Z59" s="129"/>
      <c r="AC59" s="11"/>
    </row>
    <row r="60" spans="1:29" x14ac:dyDescent="0.2">
      <c r="A60" s="105"/>
      <c r="B60" s="113" t="str">
        <f t="shared" ref="B60:B63" ca="1" si="17">INDIRECT("Visangud!C" &amp; R60)</f>
        <v>129Y-130Y</v>
      </c>
      <c r="C60" s="106">
        <f t="shared" ref="C60:C63" ca="1" si="18">INDIRECT("Visangud!"&amp;Q60&amp;R60)</f>
        <v>430.99081475115867</v>
      </c>
      <c r="D60" s="10" t="s">
        <v>31</v>
      </c>
      <c r="E60" s="12">
        <f ca="1">[1]!ripe(E$55,[1]!juhe($T$7,6),$C60,0)</f>
        <v>10.451292541122568</v>
      </c>
      <c r="F60" s="12">
        <f ca="1">[1]!ripe(F$55,[1]!juhe($T$7,6),$C60,0)</f>
        <v>10.469926149549197</v>
      </c>
      <c r="G60" s="12">
        <f ca="1">[1]!ripe(G$55,[1]!juhe($T$7,6),$C60,0)</f>
        <v>10.488563062187945</v>
      </c>
      <c r="H60" s="12">
        <f ca="1">[1]!ripe(H$55,[1]!juhe($T$7,6),$C60,0)</f>
        <v>10.507184820989419</v>
      </c>
      <c r="I60" s="12">
        <f ca="1">[1]!ripe(I$55,[1]!juhe($T$7,6),$C60,0)</f>
        <v>10.525800011463257</v>
      </c>
      <c r="J60" s="12">
        <f ca="1">[1]!ripe(J$55,[1]!juhe($T$7,6),$C60,0)</f>
        <v>10.54440821166031</v>
      </c>
      <c r="K60" s="12">
        <f ca="1">[1]!ripe(K$55,[1]!juhe($T$7,6),$C60,0)</f>
        <v>10.563008996927651</v>
      </c>
      <c r="L60" s="12">
        <f ca="1">[1]!ripe(L$55,[1]!juhe($T$7,6),$C60,0)</f>
        <v>10.58160193991413</v>
      </c>
      <c r="M60" s="12">
        <f ca="1">[1]!ripe(M$55,[1]!juhe($T$7,6),$C60,0)</f>
        <v>10.600186610576246</v>
      </c>
      <c r="N60" s="12">
        <f ca="1">[1]!ripe(N$55,[1]!juhe($T$7,6),$C60,0)</f>
        <v>10.618762576184395</v>
      </c>
      <c r="O60" s="124"/>
      <c r="Q60" s="139" t="s">
        <v>206</v>
      </c>
      <c r="R60" s="129">
        <v>41</v>
      </c>
      <c r="S60" s="129"/>
      <c r="T60" s="129"/>
      <c r="U60" s="129"/>
      <c r="V60" s="129"/>
      <c r="W60" s="129"/>
      <c r="X60" s="129"/>
      <c r="Y60" s="129"/>
      <c r="Z60" s="129"/>
      <c r="AC60" s="11"/>
    </row>
    <row r="61" spans="1:29" x14ac:dyDescent="0.2">
      <c r="A61" s="105"/>
      <c r="B61" s="113" t="str">
        <f t="shared" ca="1" si="17"/>
        <v>130Y-131Y</v>
      </c>
      <c r="C61" s="106">
        <f t="shared" ca="1" si="18"/>
        <v>417.88582567503056</v>
      </c>
      <c r="D61" s="10" t="s">
        <v>31</v>
      </c>
      <c r="E61" s="12">
        <f ca="1">[1]!ripe(E$55,[1]!juhe($T$7,6),$C61,0)</f>
        <v>9.8253777407389471</v>
      </c>
      <c r="F61" s="12">
        <f ca="1">[1]!ripe(F$55,[1]!juhe($T$7,6),$C61,0)</f>
        <v>9.8428954057305535</v>
      </c>
      <c r="G61" s="12">
        <f ca="1">[1]!ripe(G$55,[1]!juhe($T$7,6),$C61,0)</f>
        <v>9.8604161770491583</v>
      </c>
      <c r="H61" s="12">
        <f ca="1">[1]!ripe(H$55,[1]!juhe($T$7,6),$C61,0)</f>
        <v>9.8779227020747946</v>
      </c>
      <c r="I61" s="12">
        <f ca="1">[1]!ripe(I$55,[1]!juhe($T$7,6),$C61,0)</f>
        <v>9.8954230521416982</v>
      </c>
      <c r="J61" s="12">
        <f ca="1">[1]!ripe(J$55,[1]!juhe($T$7,6),$C61,0)</f>
        <v>9.9129168305707243</v>
      </c>
      <c r="K61" s="12">
        <f ca="1">[1]!ripe(K$55,[1]!juhe($T$7,6),$C61,0)</f>
        <v>9.9304036381408789</v>
      </c>
      <c r="L61" s="12">
        <f ca="1">[1]!ripe(L$55,[1]!juhe($T$7,6),$C61,0)</f>
        <v>9.947883073094534</v>
      </c>
      <c r="M61" s="12">
        <f ca="1">[1]!ripe(M$55,[1]!juhe($T$7,6),$C61,0)</f>
        <v>9.9653547311429573</v>
      </c>
      <c r="N61" s="12">
        <f ca="1">[1]!ripe(N$55,[1]!juhe($T$7,6),$C61,0)</f>
        <v>9.9828182054721744</v>
      </c>
      <c r="O61" s="124"/>
      <c r="Q61" s="139" t="s">
        <v>206</v>
      </c>
      <c r="R61" s="129">
        <v>42</v>
      </c>
      <c r="S61" s="129"/>
      <c r="T61" s="129"/>
      <c r="U61" s="129"/>
      <c r="V61" s="129"/>
      <c r="W61" s="129"/>
      <c r="X61" s="129"/>
      <c r="Y61" s="129"/>
      <c r="Z61" s="129"/>
      <c r="AC61" s="11"/>
    </row>
    <row r="62" spans="1:29" x14ac:dyDescent="0.2">
      <c r="A62" s="105"/>
      <c r="B62" s="113" t="str">
        <f t="shared" ca="1" si="17"/>
        <v>131Y-132Y</v>
      </c>
      <c r="C62" s="106">
        <f t="shared" ca="1" si="18"/>
        <v>450.42386359941628</v>
      </c>
      <c r="D62" s="10" t="s">
        <v>31</v>
      </c>
      <c r="E62" s="12">
        <f ca="1">[1]!ripe(E$55,[1]!juhe($T$7,6),$C62,0)</f>
        <v>11.415022136339237</v>
      </c>
      <c r="F62" s="12">
        <f ca="1">[1]!ripe(F$55,[1]!juhe($T$7,6),$C62,0)</f>
        <v>11.435373978164824</v>
      </c>
      <c r="G62" s="12">
        <f ca="1">[1]!ripe(G$55,[1]!juhe($T$7,6),$C62,0)</f>
        <v>11.455729428888958</v>
      </c>
      <c r="H62" s="12">
        <f ca="1">[1]!ripe(H$55,[1]!juhe($T$7,6),$C62,0)</f>
        <v>11.476068328417414</v>
      </c>
      <c r="I62" s="12">
        <f ca="1">[1]!ripe(I$55,[1]!juhe($T$7,6),$C62,0)</f>
        <v>11.496400053942743</v>
      </c>
      <c r="J62" s="12">
        <f ca="1">[1]!ripe(J$55,[1]!juhe($T$7,6),$C62,0)</f>
        <v>11.516724144607224</v>
      </c>
      <c r="K62" s="12">
        <f ca="1">[1]!ripe(K$55,[1]!juhe($T$7,6),$C62,0)</f>
        <v>11.537040136600037</v>
      </c>
      <c r="L62" s="12">
        <f ca="1">[1]!ripe(L$55,[1]!juhe($T$7,6),$C62,0)</f>
        <v>11.557347563163331</v>
      </c>
      <c r="M62" s="12">
        <f ca="1">[1]!ripe(M$55,[1]!juhe($T$7,6),$C62,0)</f>
        <v>11.577645954598641</v>
      </c>
      <c r="N62" s="12">
        <f ca="1">[1]!ripe(N$55,[1]!juhe($T$7,6),$C62,0)</f>
        <v>11.597934838273703</v>
      </c>
      <c r="O62" s="124"/>
      <c r="Q62" s="139" t="s">
        <v>206</v>
      </c>
      <c r="R62" s="129">
        <v>43</v>
      </c>
      <c r="S62" s="129"/>
      <c r="T62" s="129"/>
      <c r="U62" s="129"/>
      <c r="V62" s="129"/>
      <c r="W62" s="129"/>
      <c r="X62" s="129"/>
      <c r="Y62" s="129"/>
      <c r="Z62" s="129"/>
      <c r="AC62" s="11"/>
    </row>
    <row r="63" spans="1:29" x14ac:dyDescent="0.2">
      <c r="A63" s="108"/>
      <c r="B63" s="113" t="str">
        <f t="shared" ca="1" si="17"/>
        <v>132Y-133Y</v>
      </c>
      <c r="C63" s="106">
        <f t="shared" ca="1" si="18"/>
        <v>357.27048604651083</v>
      </c>
      <c r="D63" s="10" t="s">
        <v>31</v>
      </c>
      <c r="E63" s="12">
        <f ca="1">[1]!ripe(E$55,[1]!juhe($T$7,6),$C63,0)</f>
        <v>7.1817164896895678</v>
      </c>
      <c r="F63" s="12">
        <f ca="1">[1]!ripe(F$55,[1]!juhe($T$7,6),$C63,0)</f>
        <v>7.1945207713009944</v>
      </c>
      <c r="G63" s="12">
        <f ca="1">[1]!ripe(G$55,[1]!juhe($T$7,6),$C63,0)</f>
        <v>7.2073273234368154</v>
      </c>
      <c r="H63" s="12">
        <f ca="1">[1]!ripe(H$55,[1]!juhe($T$7,6),$C63,0)</f>
        <v>7.22012346245267</v>
      </c>
      <c r="I63" s="12">
        <f ca="1">[1]!ripe(I$55,[1]!juhe($T$7,6),$C63,0)</f>
        <v>7.2329150879725423</v>
      </c>
      <c r="J63" s="12">
        <f ca="1">[1]!ripe(J$55,[1]!juhe($T$7,6),$C63,0)</f>
        <v>7.2457019100495996</v>
      </c>
      <c r="K63" s="12">
        <f ca="1">[1]!ripe(K$55,[1]!juhe($T$7,6),$C63,0)</f>
        <v>7.2584836368790828</v>
      </c>
      <c r="L63" s="12">
        <f ca="1">[1]!ripe(L$55,[1]!juhe($T$7,6),$C63,0)</f>
        <v>7.2712599748021152</v>
      </c>
      <c r="M63" s="12">
        <f ca="1">[1]!ripe(M$55,[1]!juhe($T$7,6),$C63,0)</f>
        <v>7.2840306283097478</v>
      </c>
      <c r="N63" s="12">
        <f ca="1">[1]!ripe(N$55,[1]!juhe($T$7,6),$C63,0)</f>
        <v>7.2967953000472408</v>
      </c>
      <c r="O63" s="125"/>
      <c r="Q63" s="139" t="s">
        <v>206</v>
      </c>
      <c r="R63" s="129">
        <v>44</v>
      </c>
      <c r="S63" s="129"/>
      <c r="T63" s="129"/>
      <c r="U63" s="129"/>
      <c r="V63" s="129"/>
      <c r="W63" s="129"/>
      <c r="X63" s="129"/>
      <c r="Y63" s="129"/>
      <c r="Z63" s="129"/>
    </row>
    <row r="64" spans="1:29" s="114" customFormat="1" hidden="1" x14ac:dyDescent="0.2">
      <c r="A64" s="187">
        <v>1</v>
      </c>
      <c r="B64" s="188" t="str">
        <f ca="1">R65</f>
        <v>133Y- 137Y</v>
      </c>
      <c r="C64" s="207">
        <f ca="1">S65</f>
        <v>469.49775693170682</v>
      </c>
      <c r="D64" s="118" t="s">
        <v>130</v>
      </c>
      <c r="E64" s="119">
        <f ca="1">[1]!Olekuvorrand($C64,$T65,$Y65,$X65,$W65,E$4,[1]!juhe($T65,6),TRUE)</f>
        <v>124.05890226364136</v>
      </c>
      <c r="F64" s="119">
        <f ca="1">[1]!Olekuvorrand($C64,$T65,$Y65,$X65,$W65,F$4,[1]!juhe($T65,6),TRUE)</f>
        <v>123.90714883804321</v>
      </c>
      <c r="G64" s="119">
        <f ca="1">[1]!Olekuvorrand($C64,$T65,$Y65,$X65,$W65,G$4,[1]!juhe($T65,6),TRUE)</f>
        <v>123.75599145889282</v>
      </c>
      <c r="H64" s="119">
        <f ca="1">[1]!Olekuvorrand($C64,$T65,$Y65,$X65,$W65,H$4,[1]!juhe($T65,6),TRUE)</f>
        <v>123.60519170761108</v>
      </c>
      <c r="I64" s="119">
        <f ca="1">[1]!Olekuvorrand($C64,$T65,$Y65,$X65,$W65,I$4,[1]!juhe($T65,6),TRUE)</f>
        <v>123.45486879348755</v>
      </c>
      <c r="J64" s="119">
        <f ca="1">[1]!Olekuvorrand($C64,$T65,$Y65,$X65,$W65,J$4,[1]!juhe($T65,6),TRUE)</f>
        <v>123.30502271652222</v>
      </c>
      <c r="K64" s="119">
        <f ca="1">[1]!Olekuvorrand($C64,$T65,$Y65,$X65,$W65,K$4,[1]!juhe($T65,6),TRUE)</f>
        <v>123.15565347671509</v>
      </c>
      <c r="L64" s="119">
        <f ca="1">[1]!Olekuvorrand($C64,$T65,$Y65,$X65,$W65,L$4,[1]!juhe($T65,6),TRUE)</f>
        <v>123.00676107406616</v>
      </c>
      <c r="M64" s="119">
        <f ca="1">[1]!Olekuvorrand($C64,$T65,$Y65,$X65,$W65,M$4,[1]!juhe($T65,6),TRUE)</f>
        <v>122.85834550857544</v>
      </c>
      <c r="N64" s="119">
        <f ca="1">[1]!Olekuvorrand($C64,$T65,$Y65,$X65,$W65,N$4,[1]!juhe($T65,6),TRUE)</f>
        <v>122.71028757095337</v>
      </c>
      <c r="O64" s="207">
        <f ca="1">U65</f>
        <v>123.30502271652222</v>
      </c>
      <c r="P64" s="136"/>
      <c r="Q64" s="142"/>
      <c r="R64" s="129"/>
      <c r="S64" s="129"/>
      <c r="T64" s="129"/>
      <c r="U64" s="129"/>
      <c r="V64" s="129"/>
      <c r="W64" s="129"/>
      <c r="X64" s="129"/>
      <c r="Y64" s="129"/>
      <c r="Z64" s="129"/>
      <c r="AA64" s="128"/>
    </row>
    <row r="65" spans="1:29" s="114" customFormat="1" x14ac:dyDescent="0.2">
      <c r="A65" s="187"/>
      <c r="B65" s="188"/>
      <c r="C65" s="207"/>
      <c r="D65" s="118" t="s">
        <v>32</v>
      </c>
      <c r="E65" s="119">
        <f ca="1">E64*[1]!juhe($T65,2)/10</f>
        <v>1157.4695581197739</v>
      </c>
      <c r="F65" s="119">
        <f ca="1">F64*[1]!juhe($T65,2)/10</f>
        <v>1156.0536986589432</v>
      </c>
      <c r="G65" s="119">
        <f ca="1">G64*[1]!juhe($T65,2)/10</f>
        <v>1154.64340031147</v>
      </c>
      <c r="H65" s="119">
        <f ca="1">H64*[1]!juhe($T65,2)/10</f>
        <v>1153.2364386320114</v>
      </c>
      <c r="I65" s="119">
        <f ca="1">I64*[1]!juhe($T65,2)/10</f>
        <v>1151.8339258432388</v>
      </c>
      <c r="J65" s="119">
        <f ca="1">J64*[1]!juhe($T65,2)/10</f>
        <v>1150.4358619451523</v>
      </c>
      <c r="K65" s="119">
        <f ca="1">K64*[1]!juhe($T65,2)/10</f>
        <v>1149.0422469377518</v>
      </c>
      <c r="L65" s="119">
        <f ca="1">L64*[1]!juhe($T65,2)/10</f>
        <v>1147.6530808210373</v>
      </c>
      <c r="M65" s="119">
        <f ca="1">M64*[1]!juhe($T65,2)/10</f>
        <v>1146.2683635950089</v>
      </c>
      <c r="N65" s="119">
        <f ca="1">N64*[1]!juhe($T65,2)/10</f>
        <v>1144.8869830369949</v>
      </c>
      <c r="O65" s="207"/>
      <c r="P65" s="136"/>
      <c r="Q65" s="142" t="s">
        <v>207</v>
      </c>
      <c r="R65" s="129" t="str">
        <f t="shared" ref="R65:Y65" ca="1" si="19">INDIRECT("'"&amp;$S$1&amp;"'!"&amp;$Q65&amp;R$4)</f>
        <v>133Y- 137Y</v>
      </c>
      <c r="S65" s="129">
        <f t="shared" ca="1" si="19"/>
        <v>469.49775693170682</v>
      </c>
      <c r="T65" s="129" t="str">
        <f t="shared" ca="1" si="19"/>
        <v>OPGW-2S 2/48B1 (0/93-55.3)</v>
      </c>
      <c r="U65" s="129">
        <f t="shared" ca="1" si="19"/>
        <v>123.30502271652222</v>
      </c>
      <c r="V65" s="129">
        <f t="shared" ca="1" si="19"/>
        <v>5</v>
      </c>
      <c r="W65" s="129">
        <f t="shared" ca="1" si="19"/>
        <v>0.22174050404617987</v>
      </c>
      <c r="X65" s="129">
        <f t="shared" ca="1" si="19"/>
        <v>-5</v>
      </c>
      <c r="Y65" s="129">
        <f t="shared" ca="1" si="19"/>
        <v>340.1598334312439</v>
      </c>
      <c r="Z65" s="129">
        <v>1</v>
      </c>
      <c r="AA65" s="128"/>
    </row>
    <row r="66" spans="1:29" s="114" customFormat="1" x14ac:dyDescent="0.2">
      <c r="A66" s="187"/>
      <c r="B66" s="188"/>
      <c r="C66" s="207"/>
      <c r="D66" s="118" t="s">
        <v>31</v>
      </c>
      <c r="E66" s="120">
        <f ca="1">[1]!ripe([1]!Olekuvorrand($C64,$T65,$Y65,$X65,$W65,E$4,[1]!juhe($T65,6),TRUE),[1]!juhe($T65,6),$C64,0)</f>
        <v>13.881268024569684</v>
      </c>
      <c r="F66" s="120">
        <f ca="1">[1]!ripe([1]!Olekuvorrand($C64,$T65,$Y65,$X65,$W65,F$4,[1]!juhe($T65,6),TRUE),[1]!juhe($T65,6),$C64,0)</f>
        <v>13.898268899774454</v>
      </c>
      <c r="G66" s="120">
        <f ca="1">[1]!ripe([1]!Olekuvorrand($C64,$T65,$Y65,$X65,$W65,G$4,[1]!juhe($T65,6),TRUE),[1]!juhe($T65,6),$C64,0)</f>
        <v>13.915244448811327</v>
      </c>
      <c r="H66" s="120">
        <f ca="1">[1]!ripe([1]!Olekuvorrand($C64,$T65,$Y65,$X65,$W65,H$4,[1]!juhe($T65,6),TRUE),[1]!juhe($T65,6),$C64,0)</f>
        <v>13.932221206606981</v>
      </c>
      <c r="I66" s="120">
        <f ca="1">[1]!ripe([1]!Olekuvorrand($C64,$T65,$Y65,$X65,$W65,I$4,[1]!juhe($T65,6),TRUE),[1]!juhe($T65,6),$C64,0)</f>
        <v>13.949185560564493</v>
      </c>
      <c r="J66" s="120">
        <f ca="1">[1]!ripe([1]!Olekuvorrand($C64,$T65,$Y65,$X65,$W65,J$4,[1]!juhe($T65,6),TRUE),[1]!juhe($T65,6),$C64,0)</f>
        <v>13.966137268508437</v>
      </c>
      <c r="K66" s="120">
        <f ca="1">[1]!ripe([1]!Olekuvorrand($C64,$T65,$Y65,$X65,$W65,K$4,[1]!juhe($T65,6),TRUE),[1]!juhe($T65,6),$C64,0)</f>
        <v>13.983076087376656</v>
      </c>
      <c r="L66" s="120">
        <f ca="1">[1]!ripe([1]!Olekuvorrand($C64,$T65,$Y65,$X65,$W65,L$4,[1]!juhe($T65,6),TRUE),[1]!juhe($T65,6),$C64,0)</f>
        <v>14.00000177322427</v>
      </c>
      <c r="M66" s="120">
        <f ca="1">[1]!ripe([1]!Olekuvorrand($C64,$T65,$Y65,$X65,$W65,M$4,[1]!juhe($T65,6),TRUE),[1]!juhe($T65,6),$C64,0)</f>
        <v>14.016914081227792</v>
      </c>
      <c r="N66" s="120">
        <f ca="1">[1]!ripe([1]!Olekuvorrand($C64,$T65,$Y65,$X65,$W65,N$4,[1]!juhe($T65,6),TRUE),[1]!juhe($T65,6),$C64,0)</f>
        <v>14.033826399108984</v>
      </c>
      <c r="O66" s="207"/>
      <c r="P66" s="136"/>
      <c r="Q66" s="142"/>
      <c r="R66" s="129"/>
      <c r="S66" s="129"/>
      <c r="T66" s="129"/>
      <c r="U66" s="129"/>
      <c r="V66" s="129"/>
      <c r="W66" s="129"/>
      <c r="X66" s="129"/>
      <c r="Y66" s="129"/>
      <c r="Z66" s="129"/>
      <c r="AA66" s="128"/>
    </row>
    <row r="67" spans="1:29" s="114" customFormat="1" x14ac:dyDescent="0.2">
      <c r="A67" s="187"/>
      <c r="B67" s="188"/>
      <c r="C67" s="207"/>
      <c r="D67" s="118" t="s">
        <v>195</v>
      </c>
      <c r="E67" s="120">
        <f ca="1">[1]!ripe([1]!Olekuvorrand($C64,$T65,$Y65,$X65,$W65,E$4,[1]!juhe($T65,6)),[1]!juhe($T65,6),$C64,0)</f>
        <v>13.881268024569684</v>
      </c>
      <c r="F67" s="120">
        <f ca="1">[1]!ripe([1]!Olekuvorrand($C64,$T65,$Y65,$X65,$W65,F$4,[1]!juhe($T65,6)),[1]!juhe($T65,6),$C64,0)</f>
        <v>13.898268899774454</v>
      </c>
      <c r="G67" s="120">
        <f ca="1">[1]!ripe([1]!Olekuvorrand($C64,$T65,$Y65,$X65,$W65,G$4,[1]!juhe($T65,6)),[1]!juhe($T65,6),$C64,0)</f>
        <v>13.915244448811327</v>
      </c>
      <c r="H67" s="120">
        <f ca="1">[1]!ripe([1]!Olekuvorrand($C64,$T65,$Y65,$X65,$W65,H$4,[1]!juhe($T65,6)),[1]!juhe($T65,6),$C64,0)</f>
        <v>13.932221206606981</v>
      </c>
      <c r="I67" s="120">
        <f ca="1">[1]!ripe([1]!Olekuvorrand($C64,$T65,$Y65,$X65,$W65,I$4,[1]!juhe($T65,6)),[1]!juhe($T65,6),$C64,0)</f>
        <v>13.949185560564493</v>
      </c>
      <c r="J67" s="120">
        <f ca="1">[1]!ripe([1]!Olekuvorrand($C64,$T65,$Y65,$X65,$W65,J$4,[1]!juhe($T65,6)),[1]!juhe($T65,6),$C64,0)</f>
        <v>13.966137268508437</v>
      </c>
      <c r="K67" s="120">
        <f ca="1">[1]!ripe([1]!Olekuvorrand($C64,$T65,$Y65,$X65,$W65,K$4,[1]!juhe($T65,6)),[1]!juhe($T65,6),$C64,0)</f>
        <v>13.983076087376656</v>
      </c>
      <c r="L67" s="120">
        <f ca="1">[1]!ripe([1]!Olekuvorrand($C64,$T65,$Y65,$X65,$W65,L$4,[1]!juhe($T65,6)),[1]!juhe($T65,6),$C64,0)</f>
        <v>14.00000177322427</v>
      </c>
      <c r="M67" s="120">
        <f ca="1">[1]!ripe([1]!Olekuvorrand($C64,$T65,$Y65,$X65,$W65,M$4,[1]!juhe($T65,6)),[1]!juhe($T65,6),$C64,0)</f>
        <v>14.016914081227792</v>
      </c>
      <c r="N67" s="120">
        <f ca="1">[1]!ripe([1]!Olekuvorrand($C64,$T65,$Y65,$X65,$W65,N$4,[1]!juhe($T65,6)),[1]!juhe($T65,6),$C64,0)</f>
        <v>14.033826399108984</v>
      </c>
      <c r="O67" s="207"/>
      <c r="P67" s="136"/>
      <c r="Q67" s="142"/>
      <c r="R67" s="129"/>
      <c r="S67" s="129"/>
      <c r="T67" s="129"/>
      <c r="U67" s="129"/>
      <c r="V67" s="129"/>
      <c r="W67" s="129"/>
      <c r="X67" s="129"/>
      <c r="Y67" s="129"/>
      <c r="Z67" s="129"/>
      <c r="AA67" s="128"/>
      <c r="AC67" s="121"/>
    </row>
    <row r="68" spans="1:29" x14ac:dyDescent="0.2">
      <c r="A68" s="105"/>
      <c r="B68" s="113" t="str">
        <f ca="1">INDIRECT("Visangud!C" &amp; R68)</f>
        <v>133Y-134Y</v>
      </c>
      <c r="C68" s="106">
        <f ca="1">INDIRECT("Visangud!"&amp;Q68&amp;R68)</f>
        <v>474.33886125844168</v>
      </c>
      <c r="D68" s="10" t="s">
        <v>31</v>
      </c>
      <c r="E68" s="12">
        <f ca="1">[1]!ripe(E$64,[1]!juhe($T$7,6),$C68,0)</f>
        <v>14.169010092845758</v>
      </c>
      <c r="F68" s="12">
        <f ca="1">[1]!ripe(F$64,[1]!juhe($T$7,6),$C68,0)</f>
        <v>14.186363375841031</v>
      </c>
      <c r="G68" s="12">
        <f ca="1">[1]!ripe(G$64,[1]!juhe($T$7,6),$C68,0)</f>
        <v>14.203690807687266</v>
      </c>
      <c r="H68" s="12">
        <f ca="1">[1]!ripe(H$64,[1]!juhe($T$7,6),$C68,0)</f>
        <v>14.221019473348404</v>
      </c>
      <c r="I68" s="12">
        <f ca="1">[1]!ripe(I$64,[1]!juhe($T$7,6),$C68,0)</f>
        <v>14.238335478054683</v>
      </c>
      <c r="J68" s="12">
        <f ca="1">[1]!ripe(J$64,[1]!juhe($T$7,6),$C68,0)</f>
        <v>14.255638574610677</v>
      </c>
      <c r="K68" s="12">
        <f ca="1">[1]!ripe(K$64,[1]!juhe($T$7,6),$C68,0)</f>
        <v>14.272928514915831</v>
      </c>
      <c r="L68" s="12">
        <f ca="1">[1]!ripe(L$64,[1]!juhe($T$7,6),$C68,0)</f>
        <v>14.290205049968588</v>
      </c>
      <c r="M68" s="12">
        <f ca="1">[1]!ripe(M$64,[1]!juhe($T$7,6),$C68,0)</f>
        <v>14.30746792987056</v>
      </c>
      <c r="N68" s="12">
        <f ca="1">[1]!ripe(N$64,[1]!juhe($T$7,6),$C68,0)</f>
        <v>14.324730819854953</v>
      </c>
      <c r="O68" s="124"/>
      <c r="Q68" s="139" t="s">
        <v>207</v>
      </c>
      <c r="R68" s="129">
        <v>45</v>
      </c>
      <c r="S68" s="129"/>
      <c r="T68" s="129"/>
      <c r="U68" s="129"/>
      <c r="V68" s="129"/>
      <c r="W68" s="129"/>
      <c r="X68" s="129"/>
      <c r="Y68" s="129"/>
      <c r="Z68" s="129"/>
      <c r="AC68" s="11"/>
    </row>
    <row r="69" spans="1:29" x14ac:dyDescent="0.2">
      <c r="A69" s="153"/>
      <c r="B69" s="113" t="str">
        <f t="shared" ref="B69:B71" ca="1" si="20">INDIRECT("Visangud!C" &amp; R69)</f>
        <v>134Y-135Y</v>
      </c>
      <c r="C69" s="106">
        <f t="shared" ref="C69:C71" ca="1" si="21">INDIRECT("Visangud!"&amp;Q69&amp;R69)</f>
        <v>492.19301752466902</v>
      </c>
      <c r="D69" s="10" t="s">
        <v>31</v>
      </c>
      <c r="E69" s="12">
        <f ca="1">[1]!ripe(E$64,[1]!juhe($T$7,6),$C69,0)</f>
        <v>15.255729969780923</v>
      </c>
      <c r="F69" s="12">
        <f ca="1">[1]!ripe(F$64,[1]!juhe($T$7,6),$C69,0)</f>
        <v>15.274414196676828</v>
      </c>
      <c r="G69" s="12">
        <f ca="1">[1]!ripe(G$64,[1]!juhe($T$7,6),$C69,0)</f>
        <v>15.293070589719374</v>
      </c>
      <c r="H69" s="12">
        <f ca="1">[1]!ripe(H$64,[1]!juhe($T$7,6),$C69,0)</f>
        <v>15.311728311206664</v>
      </c>
      <c r="I69" s="12">
        <f ca="1">[1]!ripe(I$64,[1]!juhe($T$7,6),$C69,0)</f>
        <v>15.33037240068246</v>
      </c>
      <c r="J69" s="12">
        <f ca="1">[1]!ripe(J$64,[1]!juhe($T$7,6),$C69,0)</f>
        <v>15.349002591992194</v>
      </c>
      <c r="K69" s="12">
        <f ca="1">[1]!ripe(K$64,[1]!juhe($T$7,6),$C69,0)</f>
        <v>15.367618618006761</v>
      </c>
      <c r="L69" s="12">
        <f ca="1">[1]!ripe(L$64,[1]!juhe($T$7,6),$C69,0)</f>
        <v>15.38622021062694</v>
      </c>
      <c r="M69" s="12">
        <f ca="1">[1]!ripe(M$64,[1]!juhe($T$7,6),$C69,0)</f>
        <v>15.404807100787899</v>
      </c>
      <c r="N69" s="12">
        <f ca="1">[1]!ripe(N$64,[1]!juhe($T$7,6),$C69,0)</f>
        <v>15.423394001804569</v>
      </c>
      <c r="O69" s="124"/>
      <c r="Q69" s="139" t="s">
        <v>207</v>
      </c>
      <c r="R69" s="129">
        <v>46</v>
      </c>
      <c r="S69" s="129"/>
      <c r="T69" s="129"/>
      <c r="U69" s="129"/>
      <c r="V69" s="129"/>
      <c r="W69" s="129"/>
      <c r="X69" s="129"/>
      <c r="Y69" s="129"/>
      <c r="Z69" s="129"/>
      <c r="AC69" s="11"/>
    </row>
    <row r="70" spans="1:29" x14ac:dyDescent="0.2">
      <c r="A70" s="153"/>
      <c r="B70" s="113" t="str">
        <f t="shared" ca="1" si="20"/>
        <v>135Y-136Y</v>
      </c>
      <c r="C70" s="106">
        <f t="shared" ca="1" si="21"/>
        <v>492.2440911783234</v>
      </c>
      <c r="D70" s="10" t="s">
        <v>31</v>
      </c>
      <c r="E70" s="12">
        <f ca="1">[1]!ripe(E$64,[1]!juhe($T$7,6),$C70,0)</f>
        <v>15.258896232881114</v>
      </c>
      <c r="F70" s="12">
        <f ca="1">[1]!ripe(F$64,[1]!juhe($T$7,6),$C70,0)</f>
        <v>15.27758433761035</v>
      </c>
      <c r="G70" s="12">
        <f ca="1">[1]!ripe(G$64,[1]!juhe($T$7,6),$C70,0)</f>
        <v>15.296244602709429</v>
      </c>
      <c r="H70" s="12">
        <f ca="1">[1]!ripe(H$64,[1]!juhe($T$7,6),$C70,0)</f>
        <v>15.314906196528963</v>
      </c>
      <c r="I70" s="12">
        <f ca="1">[1]!ripe(I$64,[1]!juhe($T$7,6),$C70,0)</f>
        <v>15.333554155507736</v>
      </c>
      <c r="J70" s="12">
        <f ca="1">[1]!ripe(J$64,[1]!juhe($T$7,6),$C70,0)</f>
        <v>15.352188213435941</v>
      </c>
      <c r="K70" s="12">
        <f ca="1">[1]!ripe(K$64,[1]!juhe($T$7,6),$C70,0)</f>
        <v>15.370808103129033</v>
      </c>
      <c r="L70" s="12">
        <f ca="1">[1]!ripe(L$64,[1]!juhe($T$7,6),$C70,0)</f>
        <v>15.389413556432142</v>
      </c>
      <c r="M70" s="12">
        <f ca="1">[1]!ripe(M$64,[1]!juhe($T$7,6),$C70,0)</f>
        <v>15.408004304224599</v>
      </c>
      <c r="N70" s="12">
        <f ca="1">[1]!ripe(N$64,[1]!juhe($T$7,6),$C70,0)</f>
        <v>15.426595062875021</v>
      </c>
      <c r="O70" s="124"/>
      <c r="Q70" s="139" t="s">
        <v>207</v>
      </c>
      <c r="R70" s="129">
        <v>47</v>
      </c>
      <c r="S70" s="129"/>
      <c r="T70" s="129"/>
      <c r="U70" s="129"/>
      <c r="V70" s="129"/>
      <c r="W70" s="129"/>
      <c r="X70" s="129"/>
      <c r="Y70" s="129"/>
      <c r="Z70" s="129"/>
      <c r="AC70" s="11"/>
    </row>
    <row r="71" spans="1:29" x14ac:dyDescent="0.2">
      <c r="A71" s="108"/>
      <c r="B71" s="113" t="str">
        <f t="shared" ca="1" si="20"/>
        <v>136Y-137Y</v>
      </c>
      <c r="C71" s="106">
        <f t="shared" ca="1" si="21"/>
        <v>401.88288007822365</v>
      </c>
      <c r="D71" s="10" t="s">
        <v>31</v>
      </c>
      <c r="E71" s="12">
        <f ca="1">[1]!ripe(E$64,[1]!juhe($T$7,6),$C71,0)</f>
        <v>10.170940372940901</v>
      </c>
      <c r="F71" s="12">
        <f ca="1">[1]!ripe(F$64,[1]!juhe($T$7,6),$C71,0)</f>
        <v>10.183397079899478</v>
      </c>
      <c r="G71" s="12">
        <f ca="1">[1]!ripe(G$64,[1]!juhe($T$7,6),$C71,0)</f>
        <v>10.195835230127999</v>
      </c>
      <c r="H71" s="12">
        <f ca="1">[1]!ripe(H$64,[1]!juhe($T$7,6),$C71,0)</f>
        <v>10.20827426602586</v>
      </c>
      <c r="I71" s="12">
        <f ca="1">[1]!ripe(I$64,[1]!juhe($T$7,6),$C71,0)</f>
        <v>10.220704213510622</v>
      </c>
      <c r="J71" s="12">
        <f ca="1">[1]!ripe(J$64,[1]!juhe($T$7,6),$C71,0)</f>
        <v>10.233124895137992</v>
      </c>
      <c r="K71" s="12">
        <f ca="1">[1]!ripe(K$64,[1]!juhe($T$7,6),$C71,0)</f>
        <v>10.245536132813957</v>
      </c>
      <c r="L71" s="12">
        <f ca="1">[1]!ripe(L$64,[1]!juhe($T$7,6),$C71,0)</f>
        <v>10.257937747797726</v>
      </c>
      <c r="M71" s="12">
        <f ca="1">[1]!ripe(M$64,[1]!juhe($T$7,6),$C71,0)</f>
        <v>10.270329560704743</v>
      </c>
      <c r="N71" s="12">
        <f ca="1">[1]!ripe(N$64,[1]!juhe($T$7,6),$C71,0)</f>
        <v>10.282721380849226</v>
      </c>
      <c r="O71" s="124"/>
      <c r="Q71" s="139" t="s">
        <v>207</v>
      </c>
      <c r="R71" s="129">
        <v>48</v>
      </c>
      <c r="S71" s="129"/>
      <c r="T71" s="129"/>
      <c r="U71" s="129"/>
      <c r="V71" s="129"/>
      <c r="W71" s="129"/>
      <c r="X71" s="129"/>
      <c r="Y71" s="129"/>
      <c r="Z71" s="129"/>
    </row>
    <row r="72" spans="1:29" s="114" customFormat="1" hidden="1" x14ac:dyDescent="0.2">
      <c r="A72" s="187">
        <v>1</v>
      </c>
      <c r="B72" s="188" t="str">
        <f ca="1">R73</f>
        <v>137Y- 144Y</v>
      </c>
      <c r="C72" s="207">
        <f ca="1">S73</f>
        <v>408.56484089595034</v>
      </c>
      <c r="D72" s="118" t="s">
        <v>130</v>
      </c>
      <c r="E72" s="119">
        <f ca="1">[1]!Olekuvorrand($C72,$T73,$Y73,$X73,$W73,E$4,[1]!juhe($T73,6),TRUE)</f>
        <v>131.93327188491821</v>
      </c>
      <c r="F72" s="119">
        <f ca="1">[1]!Olekuvorrand($C72,$T73,$Y73,$X73,$W73,F$4,[1]!juhe($T73,6),TRUE)</f>
        <v>131.71309232711792</v>
      </c>
      <c r="G72" s="119">
        <f ca="1">[1]!Olekuvorrand($C72,$T73,$Y73,$X73,$W73,G$4,[1]!juhe($T73,6),TRUE)</f>
        <v>131.49386644363403</v>
      </c>
      <c r="H72" s="119">
        <f ca="1">[1]!Olekuvorrand($C72,$T73,$Y73,$X73,$W73,H$4,[1]!juhe($T73,6),TRUE)</f>
        <v>131.27559423446655</v>
      </c>
      <c r="I72" s="119">
        <f ca="1">[1]!Olekuvorrand($C72,$T73,$Y73,$X73,$W73,I$4,[1]!juhe($T73,6),TRUE)</f>
        <v>131.05803728103638</v>
      </c>
      <c r="J72" s="119">
        <f ca="1">[1]!Olekuvorrand($C72,$T73,$Y73,$X73,$W73,J$4,[1]!juhe($T73,6),TRUE)</f>
        <v>130.84131479263306</v>
      </c>
      <c r="K72" s="119">
        <f ca="1">[1]!Olekuvorrand($C72,$T73,$Y73,$X73,$W73,K$4,[1]!juhe($T73,6),TRUE)</f>
        <v>130.62542676925659</v>
      </c>
      <c r="L72" s="119">
        <f ca="1">[1]!Olekuvorrand($C72,$T73,$Y73,$X73,$W73,L$4,[1]!juhe($T73,6),TRUE)</f>
        <v>130.41037321090698</v>
      </c>
      <c r="M72" s="119">
        <f ca="1">[1]!Olekuvorrand($C72,$T73,$Y73,$X73,$W73,M$4,[1]!juhe($T73,6),TRUE)</f>
        <v>130.19603490829468</v>
      </c>
      <c r="N72" s="119">
        <f ca="1">[1]!Olekuvorrand($C72,$T73,$Y73,$X73,$W73,N$4,[1]!juhe($T73,6),TRUE)</f>
        <v>129.98265027999878</v>
      </c>
      <c r="O72" s="207">
        <f ca="1">U73</f>
        <v>130.84131479263306</v>
      </c>
      <c r="P72" s="136"/>
      <c r="Q72" s="142"/>
      <c r="R72" s="129"/>
      <c r="S72" s="129"/>
      <c r="T72" s="129"/>
      <c r="U72" s="129"/>
      <c r="V72" s="129"/>
      <c r="W72" s="129"/>
      <c r="X72" s="129"/>
      <c r="Y72" s="129"/>
      <c r="Z72" s="129"/>
      <c r="AA72" s="128"/>
    </row>
    <row r="73" spans="1:29" s="114" customFormat="1" x14ac:dyDescent="0.2">
      <c r="A73" s="187"/>
      <c r="B73" s="188"/>
      <c r="C73" s="207"/>
      <c r="D73" s="118" t="s">
        <v>32</v>
      </c>
      <c r="E73" s="119">
        <f ca="1">E72*[1]!juhe($T73,2)/10</f>
        <v>1230.9374266862869</v>
      </c>
      <c r="F73" s="119">
        <f ca="1">F72*[1]!juhe($T73,2)/10</f>
        <v>1228.8831514120102</v>
      </c>
      <c r="G73" s="119">
        <f ca="1">G72*[1]!juhe($T73,2)/10</f>
        <v>1226.8377739191055</v>
      </c>
      <c r="H73" s="119">
        <f ca="1">H72*[1]!juhe($T73,2)/10</f>
        <v>1224.8012942075729</v>
      </c>
      <c r="I73" s="119">
        <f ca="1">I72*[1]!juhe($T73,2)/10</f>
        <v>1222.7714878320694</v>
      </c>
      <c r="J73" s="119">
        <f ca="1">J72*[1]!juhe($T73,2)/10</f>
        <v>1220.7494670152664</v>
      </c>
      <c r="K73" s="119">
        <f ca="1">K72*[1]!juhe($T73,2)/10</f>
        <v>1218.735231757164</v>
      </c>
      <c r="L73" s="119">
        <f ca="1">L72*[1]!juhe($T73,2)/10</f>
        <v>1216.7287820577621</v>
      </c>
      <c r="M73" s="119">
        <f ca="1">M72*[1]!juhe($T73,2)/10</f>
        <v>1214.7290056943893</v>
      </c>
      <c r="N73" s="119">
        <f ca="1">N72*[1]!juhe($T73,2)/10</f>
        <v>1212.7381271123886</v>
      </c>
      <c r="O73" s="207"/>
      <c r="P73" s="136"/>
      <c r="Q73" s="142" t="s">
        <v>208</v>
      </c>
      <c r="R73" s="129" t="str">
        <f t="shared" ref="R73:Y73" ca="1" si="22">INDIRECT("'"&amp;$S$1&amp;"'!"&amp;$Q73&amp;R$4)</f>
        <v>137Y- 144Y</v>
      </c>
      <c r="S73" s="129">
        <f t="shared" ca="1" si="22"/>
        <v>408.56484089595034</v>
      </c>
      <c r="T73" s="129" t="str">
        <f t="shared" ca="1" si="22"/>
        <v>OPGW-2S 2/48B1 (0/93-55.3)</v>
      </c>
      <c r="U73" s="129">
        <f t="shared" ca="1" si="22"/>
        <v>130.84131479263306</v>
      </c>
      <c r="V73" s="129">
        <f t="shared" ca="1" si="22"/>
        <v>5</v>
      </c>
      <c r="W73" s="129">
        <f t="shared" ca="1" si="22"/>
        <v>0.22315722111951328</v>
      </c>
      <c r="X73" s="129">
        <f t="shared" ca="1" si="22"/>
        <v>-5</v>
      </c>
      <c r="Y73" s="129">
        <f t="shared" ca="1" si="22"/>
        <v>336.85892820358276</v>
      </c>
      <c r="Z73" s="129">
        <v>1</v>
      </c>
      <c r="AA73" s="128"/>
    </row>
    <row r="74" spans="1:29" s="114" customFormat="1" x14ac:dyDescent="0.2">
      <c r="A74" s="187"/>
      <c r="B74" s="188"/>
      <c r="C74" s="207"/>
      <c r="D74" s="118" t="str">
        <f>CONCATENATE(Z73,"T, [daN]")</f>
        <v>1T, [daN]</v>
      </c>
      <c r="E74" s="119">
        <f ca="1">E73*$Z73</f>
        <v>1230.9374266862869</v>
      </c>
      <c r="F74" s="119">
        <f t="shared" ref="F74:N74" ca="1" si="23">F72*$Z73</f>
        <v>131.71309232711792</v>
      </c>
      <c r="G74" s="119">
        <f t="shared" ca="1" si="23"/>
        <v>131.49386644363403</v>
      </c>
      <c r="H74" s="119">
        <f t="shared" ca="1" si="23"/>
        <v>131.27559423446655</v>
      </c>
      <c r="I74" s="119">
        <f t="shared" ca="1" si="23"/>
        <v>131.05803728103638</v>
      </c>
      <c r="J74" s="119">
        <f t="shared" ca="1" si="23"/>
        <v>130.84131479263306</v>
      </c>
      <c r="K74" s="119">
        <f t="shared" ca="1" si="23"/>
        <v>130.62542676925659</v>
      </c>
      <c r="L74" s="119">
        <f t="shared" ca="1" si="23"/>
        <v>130.41037321090698</v>
      </c>
      <c r="M74" s="119">
        <f t="shared" ca="1" si="23"/>
        <v>130.19603490829468</v>
      </c>
      <c r="N74" s="119">
        <f t="shared" ca="1" si="23"/>
        <v>129.98265027999878</v>
      </c>
      <c r="O74" s="207"/>
      <c r="P74" s="136"/>
      <c r="Q74" s="142"/>
      <c r="R74" s="129"/>
      <c r="S74" s="129"/>
      <c r="T74" s="129"/>
      <c r="U74" s="129"/>
      <c r="V74" s="129"/>
      <c r="W74" s="129"/>
      <c r="X74" s="129"/>
      <c r="Y74" s="129"/>
      <c r="Z74" s="129"/>
      <c r="AA74" s="128"/>
    </row>
    <row r="75" spans="1:29" s="114" customFormat="1" x14ac:dyDescent="0.2">
      <c r="A75" s="187"/>
      <c r="B75" s="188"/>
      <c r="C75" s="207"/>
      <c r="D75" s="118" t="s">
        <v>31</v>
      </c>
      <c r="E75" s="120">
        <f ca="1">[1]!ripe([1]!Olekuvorrand($C72,$T73,$Y73,$X73,$W73,E$4,[1]!juhe($T73,6),TRUE),[1]!juhe($T73,6),$C72,0)</f>
        <v>9.8845676653129395</v>
      </c>
      <c r="F75" s="120">
        <f ca="1">[1]!ripe([1]!Olekuvorrand($C72,$T73,$Y73,$X73,$W73,F$4,[1]!juhe($T73,6),TRUE),[1]!juhe($T73,6),$C72,0)</f>
        <v>9.9010913054396958</v>
      </c>
      <c r="G75" s="120">
        <f ca="1">[1]!ripe([1]!Olekuvorrand($C72,$T73,$Y73,$X73,$W73,G$4,[1]!juhe($T73,6),TRUE),[1]!juhe($T73,6),$C72,0)</f>
        <v>9.9175983528601943</v>
      </c>
      <c r="H75" s="120">
        <f ca="1">[1]!ripe([1]!Olekuvorrand($C72,$T73,$Y73,$X73,$W73,H$4,[1]!juhe($T73,6),TRUE),[1]!juhe($T73,6),$C72,0)</f>
        <v>9.9340883646917018</v>
      </c>
      <c r="I75" s="120">
        <f ca="1">[1]!ripe([1]!Olekuvorrand($C72,$T73,$Y73,$X73,$W73,I$4,[1]!juhe($T73,6),TRUE),[1]!juhe($T73,6),$C72,0)</f>
        <v>9.9505789977315828</v>
      </c>
      <c r="J75" s="120">
        <f ca="1">[1]!ripe([1]!Olekuvorrand($C72,$T73,$Y73,$X73,$W73,J$4,[1]!juhe($T73,6),TRUE),[1]!juhe($T73,6),$C72,0)</f>
        <v>9.9670609036560212</v>
      </c>
      <c r="K75" s="120">
        <f ca="1">[1]!ripe([1]!Olekuvorrand($C72,$T73,$Y73,$X73,$W73,K$4,[1]!juhe($T73,6),TRUE),[1]!juhe($T73,6),$C72,0)</f>
        <v>9.9835337231566559</v>
      </c>
      <c r="L75" s="120">
        <f ca="1">[1]!ripe([1]!Olekuvorrand($C72,$T73,$Y73,$X73,$W73,L$4,[1]!juhe($T73,6),TRUE),[1]!juhe($T73,6),$C72,0)</f>
        <v>9.999997094890098</v>
      </c>
      <c r="M75" s="120">
        <f ca="1">[1]!ripe([1]!Olekuvorrand($C72,$T73,$Y73,$X73,$W73,M$4,[1]!juhe($T73,6),TRUE),[1]!juhe($T73,6),$C72,0)</f>
        <v>10.016459826684937</v>
      </c>
      <c r="N75" s="120">
        <f ca="1">[1]!ripe([1]!Olekuvorrand($C72,$T73,$Y73,$X73,$W73,N$4,[1]!juhe($T73,6),TRUE),[1]!juhe($T73,6),$C72,0)</f>
        <v>10.032903240881783</v>
      </c>
      <c r="O75" s="207"/>
      <c r="P75" s="136"/>
      <c r="Q75" s="142"/>
      <c r="R75" s="129"/>
      <c r="S75" s="129"/>
      <c r="T75" s="129"/>
      <c r="U75" s="129"/>
      <c r="V75" s="129"/>
      <c r="W75" s="129"/>
      <c r="X75" s="129"/>
      <c r="Y75" s="129"/>
      <c r="Z75" s="129"/>
      <c r="AA75" s="128"/>
    </row>
    <row r="76" spans="1:29" s="114" customFormat="1" x14ac:dyDescent="0.2">
      <c r="A76" s="187"/>
      <c r="B76" s="188"/>
      <c r="C76" s="207"/>
      <c r="D76" s="118" t="s">
        <v>195</v>
      </c>
      <c r="E76" s="120">
        <f ca="1">[1]!ripe([1]!Olekuvorrand($C72,$T73,$Y73,$X73,$W73,E$4,[1]!juhe($T73,6)),[1]!juhe($T73,6),$C72,0)</f>
        <v>9.8845676653129395</v>
      </c>
      <c r="F76" s="120">
        <f ca="1">[1]!ripe([1]!Olekuvorrand($C72,$T73,$Y73,$X73,$W73,F$4,[1]!juhe($T73,6)),[1]!juhe($T73,6),$C72,0)</f>
        <v>9.9010913054396958</v>
      </c>
      <c r="G76" s="120">
        <f ca="1">[1]!ripe([1]!Olekuvorrand($C72,$T73,$Y73,$X73,$W73,G$4,[1]!juhe($T73,6)),[1]!juhe($T73,6),$C72,0)</f>
        <v>9.9175983528601943</v>
      </c>
      <c r="H76" s="120">
        <f ca="1">[1]!ripe([1]!Olekuvorrand($C72,$T73,$Y73,$X73,$W73,H$4,[1]!juhe($T73,6)),[1]!juhe($T73,6),$C72,0)</f>
        <v>9.9340883646917018</v>
      </c>
      <c r="I76" s="120">
        <f ca="1">[1]!ripe([1]!Olekuvorrand($C72,$T73,$Y73,$X73,$W73,I$4,[1]!juhe($T73,6)),[1]!juhe($T73,6),$C72,0)</f>
        <v>9.9505789977315828</v>
      </c>
      <c r="J76" s="120">
        <f ca="1">[1]!ripe([1]!Olekuvorrand($C72,$T73,$Y73,$X73,$W73,J$4,[1]!juhe($T73,6)),[1]!juhe($T73,6),$C72,0)</f>
        <v>9.9670609036560212</v>
      </c>
      <c r="K76" s="120">
        <f ca="1">[1]!ripe([1]!Olekuvorrand($C72,$T73,$Y73,$X73,$W73,K$4,[1]!juhe($T73,6)),[1]!juhe($T73,6),$C72,0)</f>
        <v>9.9835337231566559</v>
      </c>
      <c r="L76" s="120">
        <f ca="1">[1]!ripe([1]!Olekuvorrand($C72,$T73,$Y73,$X73,$W73,L$4,[1]!juhe($T73,6)),[1]!juhe($T73,6),$C72,0)</f>
        <v>9.999997094890098</v>
      </c>
      <c r="M76" s="120">
        <f ca="1">[1]!ripe([1]!Olekuvorrand($C72,$T73,$Y73,$X73,$W73,M$4,[1]!juhe($T73,6)),[1]!juhe($T73,6),$C72,0)</f>
        <v>10.016459826684937</v>
      </c>
      <c r="N76" s="120">
        <f ca="1">[1]!ripe([1]!Olekuvorrand($C72,$T73,$Y73,$X73,$W73,N$4,[1]!juhe($T73,6)),[1]!juhe($T73,6),$C72,0)</f>
        <v>10.032903240881783</v>
      </c>
      <c r="O76" s="207"/>
      <c r="P76" s="136"/>
      <c r="Q76" s="142"/>
      <c r="R76" s="129"/>
      <c r="S76" s="129"/>
      <c r="T76" s="129"/>
      <c r="U76" s="129"/>
      <c r="V76" s="129"/>
      <c r="W76" s="129"/>
      <c r="X76" s="129"/>
      <c r="Y76" s="129"/>
      <c r="Z76" s="129"/>
      <c r="AA76" s="128"/>
      <c r="AC76" s="121"/>
    </row>
    <row r="77" spans="1:29" x14ac:dyDescent="0.2">
      <c r="A77" s="105"/>
      <c r="B77" s="113" t="str">
        <f ca="1">INDIRECT("Visangud!C" &amp; R77)</f>
        <v>137Y-138Y</v>
      </c>
      <c r="C77" s="106">
        <f ca="1">INDIRECT("Visangud!"&amp;Q77&amp;R77)</f>
        <v>337.62544054022163</v>
      </c>
      <c r="D77" s="10" t="s">
        <v>31</v>
      </c>
      <c r="E77" s="12">
        <f ca="1">[1]!ripe(E$72,[1]!juhe($T$7,6),$C77,0)</f>
        <v>6.750035007718826</v>
      </c>
      <c r="F77" s="12">
        <f ca="1">[1]!ripe(F$72,[1]!juhe($T$7,6),$C77,0)</f>
        <v>6.7613187737961189</v>
      </c>
      <c r="G77" s="12">
        <f ca="1">[1]!ripe(G$72,[1]!juhe($T$7,6),$C77,0)</f>
        <v>6.772591208943024</v>
      </c>
      <c r="H77" s="12">
        <f ca="1">[1]!ripe(H$72,[1]!juhe($T$7,6),$C77,0)</f>
        <v>6.7838520107210298</v>
      </c>
      <c r="I77" s="12">
        <f ca="1">[1]!ripe(I$72,[1]!juhe($T$7,6),$C77,0)</f>
        <v>6.7951132367136697</v>
      </c>
      <c r="J77" s="12">
        <f ca="1">[1]!ripe(J$72,[1]!juhe($T$7,6),$C77,0)</f>
        <v>6.8063685030794723</v>
      </c>
      <c r="K77" s="12">
        <f ca="1">[1]!ripe(K$72,[1]!juhe($T$7,6),$C77,0)</f>
        <v>6.817617564451707</v>
      </c>
      <c r="L77" s="12">
        <f ca="1">[1]!ripe(L$72,[1]!juhe($T$7,6),$C77,0)</f>
        <v>6.8288601740739567</v>
      </c>
      <c r="M77" s="12">
        <f ca="1">[1]!ripe(M$72,[1]!juhe($T$7,6),$C77,0)</f>
        <v>6.840102346690955</v>
      </c>
      <c r="N77" s="12">
        <f ca="1">[1]!ripe(N$72,[1]!juhe($T$7,6),$C77,0)</f>
        <v>6.8513313275865624</v>
      </c>
      <c r="O77" s="124"/>
      <c r="Q77" s="139" t="s">
        <v>208</v>
      </c>
      <c r="R77" s="129">
        <v>49</v>
      </c>
      <c r="S77" s="129"/>
      <c r="T77" s="129"/>
      <c r="U77" s="129"/>
      <c r="V77" s="129"/>
      <c r="W77" s="129"/>
      <c r="X77" s="129"/>
      <c r="Y77" s="129"/>
      <c r="Z77" s="129"/>
      <c r="AC77" s="11"/>
    </row>
    <row r="78" spans="1:29" x14ac:dyDescent="0.2">
      <c r="A78" s="108"/>
      <c r="B78" s="113" t="str">
        <f t="shared" ref="B78:B79" ca="1" si="24">INDIRECT("Visangud!C" &amp; R78)</f>
        <v>138Y-139Y</v>
      </c>
      <c r="C78" s="106">
        <f t="shared" ref="C78:C79" ca="1" si="25">INDIRECT("Visangud!"&amp;Q78&amp;R78)</f>
        <v>430.12785820032502</v>
      </c>
      <c r="D78" s="10" t="s">
        <v>31</v>
      </c>
      <c r="E78" s="12">
        <f ca="1">[1]!ripe(E$72,[1]!juhe($T$7,6),$C78,0)</f>
        <v>10.955465625538082</v>
      </c>
      <c r="F78" s="12">
        <f ca="1">[1]!ripe(F$72,[1]!juhe($T$7,6),$C78,0)</f>
        <v>10.973779443354587</v>
      </c>
      <c r="G78" s="12">
        <f ca="1">[1]!ripe(G$72,[1]!juhe($T$7,6),$C78,0)</f>
        <v>10.99207487080449</v>
      </c>
      <c r="H78" s="12">
        <f ca="1">[1]!ripe(H$72,[1]!juhe($T$7,6),$C78,0)</f>
        <v>11.010351417022971</v>
      </c>
      <c r="I78" s="12">
        <f ca="1">[1]!ripe(I$72,[1]!juhe($T$7,6),$C78,0)</f>
        <v>11.028628651751784</v>
      </c>
      <c r="J78" s="12">
        <f ca="1">[1]!ripe(J$72,[1]!juhe($T$7,6),$C78,0)</f>
        <v>11.046896213866029</v>
      </c>
      <c r="K78" s="12">
        <f ca="1">[1]!ripe(K$72,[1]!juhe($T$7,6),$C78,0)</f>
        <v>11.065153705129728</v>
      </c>
      <c r="L78" s="12">
        <f ca="1">[1]!ripe(L$72,[1]!juhe($T$7,6),$C78,0)</f>
        <v>11.08340072505141</v>
      </c>
      <c r="M78" s="12">
        <f ca="1">[1]!ripe(M$72,[1]!juhe($T$7,6),$C78,0)</f>
        <v>11.101647035703287</v>
      </c>
      <c r="N78" s="12">
        <f ca="1">[1]!ripe(N$72,[1]!juhe($T$7,6),$C78,0)</f>
        <v>11.119871935880987</v>
      </c>
      <c r="O78" s="125"/>
      <c r="Q78" s="139" t="s">
        <v>208</v>
      </c>
      <c r="R78" s="129">
        <v>50</v>
      </c>
      <c r="S78" s="129"/>
      <c r="T78" s="129"/>
      <c r="U78" s="129"/>
      <c r="V78" s="129"/>
      <c r="W78" s="129"/>
      <c r="X78" s="129"/>
      <c r="Y78" s="129"/>
      <c r="Z78" s="129"/>
    </row>
    <row r="79" spans="1:29" x14ac:dyDescent="0.2">
      <c r="A79" s="223"/>
      <c r="B79" s="113" t="str">
        <f t="shared" ca="1" si="24"/>
        <v>139Y-140Y</v>
      </c>
      <c r="C79" s="106">
        <f t="shared" ca="1" si="25"/>
        <v>430.12950840414629</v>
      </c>
      <c r="D79" s="10" t="s">
        <v>31</v>
      </c>
      <c r="E79" s="12">
        <f ca="1">[1]!ripe(E$72,[1]!juhe($T$7,6),$C79,0)</f>
        <v>10.95554968791895</v>
      </c>
      <c r="F79" s="12">
        <f ca="1">[1]!ripe(F$72,[1]!juhe($T$7,6),$C79,0)</f>
        <v>10.973863646259206</v>
      </c>
      <c r="G79" s="12">
        <f ca="1">[1]!ripe(G$72,[1]!juhe($T$7,6),$C79,0)</f>
        <v>10.99215921409175</v>
      </c>
      <c r="H79" s="12">
        <f ca="1">[1]!ripe(H$72,[1]!juhe($T$7,6),$C79,0)</f>
        <v>11.010435900547995</v>
      </c>
      <c r="I79" s="12">
        <f ca="1">[1]!ripe(I$72,[1]!juhe($T$7,6),$C79,0)</f>
        <v>11.028713275519854</v>
      </c>
      <c r="J79" s="12">
        <f ca="1">[1]!ripe(J$72,[1]!juhe($T$7,6),$C79,0)</f>
        <v>11.046980977802924</v>
      </c>
      <c r="K79" s="12">
        <f ca="1">[1]!ripe(K$72,[1]!juhe($T$7,6),$C79,0)</f>
        <v>11.065238609158175</v>
      </c>
      <c r="L79" s="12">
        <f ca="1">[1]!ripe(L$72,[1]!juhe($T$7,6),$C79,0)</f>
        <v>11.083485769091062</v>
      </c>
      <c r="M79" s="12">
        <f ca="1">[1]!ripe(M$72,[1]!juhe($T$7,6),$C79,0)</f>
        <v>11.101732219748703</v>
      </c>
      <c r="N79" s="12">
        <f ca="1">[1]!ripe(N$72,[1]!juhe($T$7,6),$C79,0)</f>
        <v>11.11995725976788</v>
      </c>
      <c r="O79" s="124"/>
      <c r="Q79" s="139" t="s">
        <v>208</v>
      </c>
      <c r="R79" s="129">
        <v>51</v>
      </c>
      <c r="S79" s="129"/>
      <c r="T79" s="129"/>
      <c r="U79" s="129"/>
      <c r="V79" s="129"/>
      <c r="W79" s="129"/>
      <c r="X79" s="129"/>
      <c r="Y79" s="129"/>
      <c r="Z79" s="129"/>
    </row>
    <row r="80" spans="1:29" x14ac:dyDescent="0.2">
      <c r="A80" s="223"/>
      <c r="B80" s="113" t="str">
        <f t="shared" ref="B80:B81" ca="1" si="26">INDIRECT("Visangud!C" &amp; R80)</f>
        <v>140Y-141Y</v>
      </c>
      <c r="C80" s="106">
        <f t="shared" ref="C80:C81" ca="1" si="27">INDIRECT("Visangud!"&amp;Q80&amp;R80)</f>
        <v>430.16843143122901</v>
      </c>
      <c r="D80" s="10" t="s">
        <v>31</v>
      </c>
      <c r="E80" s="12">
        <f ca="1">[1]!ripe(E$72,[1]!juhe($T$7,6),$C80,0)</f>
        <v>10.957532543978319</v>
      </c>
      <c r="F80" s="12">
        <f ca="1">[1]!ripe(F$72,[1]!juhe($T$7,6),$C80,0)</f>
        <v>10.975849816980485</v>
      </c>
      <c r="G80" s="12">
        <f ca="1">[1]!ripe(G$72,[1]!juhe($T$7,6),$C80,0)</f>
        <v>10.994148696146423</v>
      </c>
      <c r="H80" s="12">
        <f ca="1">[1]!ripe(H$72,[1]!juhe($T$7,6),$C80,0)</f>
        <v>11.012428690518702</v>
      </c>
      <c r="I80" s="12">
        <f ca="1">[1]!ripe(I$72,[1]!juhe($T$7,6),$C80,0)</f>
        <v>11.030709373531211</v>
      </c>
      <c r="J80" s="12">
        <f ca="1">[1]!ripe(J$72,[1]!juhe($T$7,6),$C80,0)</f>
        <v>11.048980382104263</v>
      </c>
      <c r="K80" s="12">
        <f ca="1">[1]!ripe(K$72,[1]!juhe($T$7,6),$C80,0)</f>
        <v>11.067241317926745</v>
      </c>
      <c r="L80" s="12">
        <f ca="1">[1]!ripe(L$72,[1]!juhe($T$7,6),$C80,0)</f>
        <v>11.085491780431633</v>
      </c>
      <c r="M80" s="12">
        <f ca="1">[1]!ripe(M$72,[1]!juhe($T$7,6),$C80,0)</f>
        <v>11.103741533532901</v>
      </c>
      <c r="N80" s="12">
        <f ca="1">[1]!ripe(N$72,[1]!juhe($T$7,6),$C80,0)</f>
        <v>11.121969872120571</v>
      </c>
      <c r="O80" s="125"/>
      <c r="Q80" s="139" t="s">
        <v>208</v>
      </c>
      <c r="R80" s="129">
        <v>52</v>
      </c>
      <c r="S80" s="129"/>
      <c r="T80" s="129"/>
      <c r="U80" s="129"/>
      <c r="V80" s="129"/>
      <c r="W80" s="129"/>
      <c r="X80" s="129"/>
      <c r="Y80" s="129"/>
      <c r="Z80" s="129"/>
    </row>
    <row r="81" spans="1:29" x14ac:dyDescent="0.2">
      <c r="A81" s="223"/>
      <c r="B81" s="113" t="str">
        <f t="shared" ca="1" si="26"/>
        <v>141Y-142Y</v>
      </c>
      <c r="C81" s="106">
        <f t="shared" ca="1" si="27"/>
        <v>402.92485614569125</v>
      </c>
      <c r="D81" s="10" t="s">
        <v>31</v>
      </c>
      <c r="E81" s="12">
        <f ca="1">[1]!ripe(E$72,[1]!juhe($T$7,6),$C81,0)</f>
        <v>9.6135506005096083</v>
      </c>
      <c r="F81" s="12">
        <f ca="1">[1]!ripe(F$72,[1]!juhe($T$7,6),$C81,0)</f>
        <v>9.6296211921471802</v>
      </c>
      <c r="G81" s="12">
        <f ca="1">[1]!ripe(G$72,[1]!juhe($T$7,6),$C81,0)</f>
        <v>9.645675646020651</v>
      </c>
      <c r="H81" s="12">
        <f ca="1">[1]!ripe(H$72,[1]!juhe($T$7,6),$C81,0)</f>
        <v>9.6617135313903386</v>
      </c>
      <c r="I81" s="12">
        <f ca="1">[1]!ripe(I$72,[1]!juhe($T$7,6),$C81,0)</f>
        <v>9.6777520209359817</v>
      </c>
      <c r="J81" s="12">
        <f ca="1">[1]!ripe(J$72,[1]!juhe($T$7,6),$C81,0)</f>
        <v>9.6937820226479907</v>
      </c>
      <c r="K81" s="12">
        <f ca="1">[1]!ripe(K$72,[1]!juhe($T$7,6),$C81,0)</f>
        <v>9.7098031870695891</v>
      </c>
      <c r="L81" s="12">
        <f ca="1">[1]!ripe(L$72,[1]!juhe($T$7,6),$C81,0)</f>
        <v>9.7258151627647802</v>
      </c>
      <c r="M81" s="12">
        <f ca="1">[1]!ripe(M$72,[1]!juhe($T$7,6),$C81,0)</f>
        <v>9.7418265160673307</v>
      </c>
      <c r="N81" s="12">
        <f ca="1">[1]!ripe(N$72,[1]!juhe($T$7,6),$C81,0)</f>
        <v>9.7578190814256782</v>
      </c>
      <c r="O81" s="124"/>
      <c r="Q81" s="139" t="s">
        <v>208</v>
      </c>
      <c r="R81" s="129">
        <v>53</v>
      </c>
      <c r="S81" s="129"/>
      <c r="T81" s="129"/>
      <c r="U81" s="129"/>
      <c r="V81" s="129"/>
      <c r="W81" s="129"/>
      <c r="X81" s="129"/>
      <c r="Y81" s="129"/>
      <c r="Z81" s="129"/>
    </row>
    <row r="82" spans="1:29" x14ac:dyDescent="0.2">
      <c r="A82" s="108"/>
      <c r="B82" s="113" t="str">
        <f t="shared" ref="B82:B83" ca="1" si="28">INDIRECT("Visangud!C" &amp; R82)</f>
        <v>142Y-143Y</v>
      </c>
      <c r="C82" s="106">
        <f t="shared" ref="C82:C83" ca="1" si="29">INDIRECT("Visangud!"&amp;Q82&amp;R82)</f>
        <v>403.02554720514649</v>
      </c>
      <c r="D82" s="10" t="s">
        <v>31</v>
      </c>
      <c r="E82" s="12">
        <f ca="1">[1]!ripe(E$72,[1]!juhe($T$7,6),$C82,0)</f>
        <v>9.6183560600483577</v>
      </c>
      <c r="F82" s="12">
        <f ca="1">[1]!ripe(F$72,[1]!juhe($T$7,6),$C82,0)</f>
        <v>9.6344346847822422</v>
      </c>
      <c r="G82" s="12">
        <f ca="1">[1]!ripe(G$72,[1]!juhe($T$7,6),$C82,0)</f>
        <v>9.6504971636853512</v>
      </c>
      <c r="H82" s="12">
        <f ca="1">[1]!ripe(H$72,[1]!juhe($T$7,6),$C82,0)</f>
        <v>9.6665430658026921</v>
      </c>
      <c r="I82" s="12">
        <f ca="1">[1]!ripe(I$72,[1]!juhe($T$7,6),$C82,0)</f>
        <v>9.6825895723979958</v>
      </c>
      <c r="J82" s="12">
        <f ca="1">[1]!ripe(J$72,[1]!juhe($T$7,6),$C82,0)</f>
        <v>9.6986275869169098</v>
      </c>
      <c r="K82" s="12">
        <f ca="1">[1]!ripe(K$72,[1]!juhe($T$7,6),$C82,0)</f>
        <v>9.714656759727978</v>
      </c>
      <c r="L82" s="12">
        <f ca="1">[1]!ripe(L$72,[1]!juhe($T$7,6),$C82,0)</f>
        <v>9.7306767392195326</v>
      </c>
      <c r="M82" s="12">
        <f ca="1">[1]!ripe(M$72,[1]!juhe($T$7,6),$C82,0)</f>
        <v>9.7466960960073372</v>
      </c>
      <c r="N82" s="12">
        <f ca="1">[1]!ripe(N$72,[1]!juhe($T$7,6),$C82,0)</f>
        <v>9.7626966554595356</v>
      </c>
      <c r="O82" s="125"/>
      <c r="Q82" s="139" t="s">
        <v>208</v>
      </c>
      <c r="R82" s="129">
        <v>54</v>
      </c>
      <c r="S82" s="129"/>
      <c r="T82" s="129"/>
      <c r="U82" s="129"/>
      <c r="V82" s="129"/>
      <c r="W82" s="129"/>
      <c r="X82" s="129"/>
      <c r="Y82" s="129"/>
      <c r="Z82" s="129"/>
    </row>
    <row r="83" spans="1:29" x14ac:dyDescent="0.2">
      <c r="A83" s="108"/>
      <c r="B83" s="113" t="str">
        <f t="shared" ca="1" si="28"/>
        <v>143Y-144Y</v>
      </c>
      <c r="C83" s="106">
        <f t="shared" ca="1" si="29"/>
        <v>402.98537355589087</v>
      </c>
      <c r="D83" s="10" t="s">
        <v>31</v>
      </c>
      <c r="E83" s="12">
        <f ca="1">[1]!ripe(E$72,[1]!juhe($T$7,6),$C83,0)</f>
        <v>9.6164386371602895</v>
      </c>
      <c r="F83" s="12">
        <f ca="1">[1]!ripe(F$72,[1]!juhe($T$7,6),$C83,0)</f>
        <v>9.632514056614303</v>
      </c>
      <c r="G83" s="12">
        <f ca="1">[1]!ripe(G$72,[1]!juhe($T$7,6),$C83,0)</f>
        <v>9.648573333456218</v>
      </c>
      <c r="H83" s="12">
        <f ca="1">[1]!ripe(H$72,[1]!juhe($T$7,6),$C83,0)</f>
        <v>9.6646160368169554</v>
      </c>
      <c r="I83" s="12">
        <f ca="1">[1]!ripe(I$72,[1]!juhe($T$7,6),$C83,0)</f>
        <v>9.6806593445351492</v>
      </c>
      <c r="J83" s="12">
        <f ca="1">[1]!ripe(J$72,[1]!juhe($T$7,6),$C83,0)</f>
        <v>9.6966941618698552</v>
      </c>
      <c r="K83" s="12">
        <f ca="1">[1]!ripe(K$72,[1]!juhe($T$7,6),$C83,0)</f>
        <v>9.7127201392593108</v>
      </c>
      <c r="L83" s="12">
        <f ca="1">[1]!ripe(L$72,[1]!juhe($T$7,6),$C83,0)</f>
        <v>9.7287369251619449</v>
      </c>
      <c r="M83" s="12">
        <f ca="1">[1]!ripe(M$72,[1]!juhe($T$7,6),$C83,0)</f>
        <v>9.7447530884849645</v>
      </c>
      <c r="N83" s="12">
        <f ca="1">[1]!ripe(N$72,[1]!juhe($T$7,6),$C83,0)</f>
        <v>9.7607504582196363</v>
      </c>
      <c r="O83" s="124"/>
      <c r="Q83" s="139" t="s">
        <v>208</v>
      </c>
      <c r="R83" s="129">
        <v>55</v>
      </c>
      <c r="S83" s="129"/>
      <c r="T83" s="129"/>
      <c r="U83" s="129"/>
      <c r="V83" s="129"/>
      <c r="W83" s="129"/>
      <c r="X83" s="129"/>
      <c r="Y83" s="129"/>
      <c r="Z83" s="129"/>
    </row>
    <row r="84" spans="1:29" s="114" customFormat="1" hidden="1" x14ac:dyDescent="0.2">
      <c r="A84" s="187">
        <v>1</v>
      </c>
      <c r="B84" s="188" t="str">
        <f ca="1">R85</f>
        <v>144Y- 148Y</v>
      </c>
      <c r="C84" s="207">
        <f ca="1">S85</f>
        <v>466.6264206472535</v>
      </c>
      <c r="D84" s="118" t="s">
        <v>130</v>
      </c>
      <c r="E84" s="119">
        <f ca="1">[1]!Olekuvorrand($C84,$T85,$Y85,$X85,$W85,E$4,[1]!juhe($T85,6),TRUE)</f>
        <v>134.18656587600708</v>
      </c>
      <c r="F84" s="119">
        <f ca="1">[1]!Olekuvorrand($C84,$T85,$Y85,$X85,$W85,F$4,[1]!juhe($T85,6),TRUE)</f>
        <v>134.00059938430786</v>
      </c>
      <c r="G84" s="119">
        <f ca="1">[1]!Olekuvorrand($C84,$T85,$Y85,$X85,$W85,G$4,[1]!juhe($T85,6),TRUE)</f>
        <v>133.81534814834595</v>
      </c>
      <c r="H84" s="119">
        <f ca="1">[1]!Olekuvorrand($C84,$T85,$Y85,$X85,$W85,H$4,[1]!juhe($T85,6),TRUE)</f>
        <v>133.63069295883179</v>
      </c>
      <c r="I84" s="119">
        <f ca="1">[1]!Olekuvorrand($C84,$T85,$Y85,$X85,$W85,I$4,[1]!juhe($T85,6),TRUE)</f>
        <v>133.44663381576538</v>
      </c>
      <c r="J84" s="119">
        <f ca="1">[1]!Olekuvorrand($C84,$T85,$Y85,$X85,$W85,J$4,[1]!juhe($T85,6),TRUE)</f>
        <v>133.26317071914673</v>
      </c>
      <c r="K84" s="119">
        <f ca="1">[1]!Olekuvorrand($C84,$T85,$Y85,$X85,$W85,K$4,[1]!juhe($T85,6),TRUE)</f>
        <v>133.08030366897583</v>
      </c>
      <c r="L84" s="119">
        <f ca="1">[1]!Olekuvorrand($C84,$T85,$Y85,$X85,$W85,L$4,[1]!juhe($T85,6),TRUE)</f>
        <v>132.89803266525269</v>
      </c>
      <c r="M84" s="119">
        <f ca="1">[1]!Olekuvorrand($C84,$T85,$Y85,$X85,$W85,M$4,[1]!juhe($T85,6),TRUE)</f>
        <v>132.71647691726685</v>
      </c>
      <c r="N84" s="119">
        <f ca="1">[1]!Olekuvorrand($C84,$T85,$Y85,$X85,$W85,N$4,[1]!juhe($T85,6),TRUE)</f>
        <v>132.53539800643921</v>
      </c>
      <c r="O84" s="207">
        <f ca="1">U85</f>
        <v>133.26317071914673</v>
      </c>
      <c r="P84" s="136"/>
      <c r="Q84" s="142"/>
      <c r="R84" s="129"/>
      <c r="S84" s="129"/>
      <c r="T84" s="129"/>
      <c r="U84" s="129"/>
      <c r="V84" s="129"/>
      <c r="W84" s="129"/>
      <c r="X84" s="129"/>
      <c r="Y84" s="129"/>
      <c r="Z84" s="129"/>
      <c r="AA84" s="128"/>
    </row>
    <row r="85" spans="1:29" s="114" customFormat="1" x14ac:dyDescent="0.2">
      <c r="A85" s="187"/>
      <c r="B85" s="188"/>
      <c r="C85" s="207"/>
      <c r="D85" s="118" t="s">
        <v>32</v>
      </c>
      <c r="E85" s="119">
        <f ca="1">E84*[1]!juhe($T85,2)/10</f>
        <v>1251.9606596231461</v>
      </c>
      <c r="F85" s="119">
        <f ca="1">F84*[1]!juhe($T85,2)/10</f>
        <v>1250.2255922555923</v>
      </c>
      <c r="G85" s="119">
        <f ca="1">G84*[1]!juhe($T85,2)/10</f>
        <v>1248.4971982240677</v>
      </c>
      <c r="H85" s="119">
        <f ca="1">H84*[1]!juhe($T85,2)/10</f>
        <v>1246.7743653059006</v>
      </c>
      <c r="I85" s="119">
        <f ca="1">I84*[1]!juhe($T85,2)/10</f>
        <v>1245.057093501091</v>
      </c>
      <c r="J85" s="119">
        <f ca="1">J84*[1]!juhe($T85,2)/10</f>
        <v>1243.345382809639</v>
      </c>
      <c r="K85" s="119">
        <f ca="1">K84*[1]!juhe($T85,2)/10</f>
        <v>1241.6392332315445</v>
      </c>
      <c r="L85" s="119">
        <f ca="1">L84*[1]!juhe($T85,2)/10</f>
        <v>1239.9386447668076</v>
      </c>
      <c r="M85" s="119">
        <f ca="1">M84*[1]!juhe($T85,2)/10</f>
        <v>1238.2447296380997</v>
      </c>
      <c r="N85" s="119">
        <f ca="1">N84*[1]!juhe($T85,2)/10</f>
        <v>1236.5552634000778</v>
      </c>
      <c r="O85" s="207"/>
      <c r="P85" s="136"/>
      <c r="Q85" s="142" t="s">
        <v>209</v>
      </c>
      <c r="R85" s="129" t="str">
        <f t="shared" ref="R85:Y85" ca="1" si="30">INDIRECT("'"&amp;$S$1&amp;"'!"&amp;$Q85&amp;R$4)</f>
        <v>144Y- 148Y</v>
      </c>
      <c r="S85" s="129">
        <f t="shared" ca="1" si="30"/>
        <v>466.6264206472535</v>
      </c>
      <c r="T85" s="129" t="str">
        <f t="shared" ca="1" si="30"/>
        <v>OPGW-2S 2/48B1 (0/93-55.3)</v>
      </c>
      <c r="U85" s="129">
        <f t="shared" ca="1" si="30"/>
        <v>133.26317071914673</v>
      </c>
      <c r="V85" s="129">
        <f t="shared" ca="1" si="30"/>
        <v>5</v>
      </c>
      <c r="W85" s="129">
        <f t="shared" ca="1" si="30"/>
        <v>0.22180278728749259</v>
      </c>
      <c r="X85" s="129">
        <f t="shared" ca="1" si="30"/>
        <v>-5</v>
      </c>
      <c r="Y85" s="129">
        <f t="shared" ca="1" si="30"/>
        <v>353.82038354873657</v>
      </c>
      <c r="Z85" s="129">
        <v>1</v>
      </c>
      <c r="AA85" s="128"/>
    </row>
    <row r="86" spans="1:29" s="114" customFormat="1" x14ac:dyDescent="0.2">
      <c r="A86" s="187"/>
      <c r="B86" s="188"/>
      <c r="C86" s="207"/>
      <c r="D86" s="118" t="s">
        <v>31</v>
      </c>
      <c r="E86" s="120">
        <f ca="1">[1]!ripe([1]!Olekuvorrand($C84,$T85,$Y85,$X85,$W85,E$4,[1]!juhe($T85,6),TRUE),[1]!juhe($T85,6),$C84,0)</f>
        <v>12.677092001570205</v>
      </c>
      <c r="F86" s="120">
        <f ca="1">[1]!ripe([1]!Olekuvorrand($C84,$T85,$Y85,$X85,$W85,F$4,[1]!juhe($T85,6),TRUE),[1]!juhe($T85,6),$C84,0)</f>
        <v>12.694685313356214</v>
      </c>
      <c r="G86" s="120">
        <f ca="1">[1]!ripe([1]!Olekuvorrand($C84,$T85,$Y85,$X85,$W85,G$4,[1]!juhe($T85,6),TRUE),[1]!juhe($T85,6),$C84,0)</f>
        <v>12.712259576525486</v>
      </c>
      <c r="H86" s="120">
        <f ca="1">[1]!ripe([1]!Olekuvorrand($C84,$T85,$Y85,$X85,$W85,H$4,[1]!juhe($T85,6),TRUE),[1]!juhe($T85,6),$C84,0)</f>
        <v>12.729825785674604</v>
      </c>
      <c r="I86" s="120">
        <f ca="1">[1]!ripe([1]!Olekuvorrand($C84,$T85,$Y85,$X85,$W85,I$4,[1]!juhe($T85,6),TRUE),[1]!juhe($T85,6),$C84,0)</f>
        <v>12.7473836719884</v>
      </c>
      <c r="J86" s="120">
        <f ca="1">[1]!ripe([1]!Olekuvorrand($C84,$T85,$Y85,$X85,$W85,J$4,[1]!juhe($T85,6),TRUE),[1]!juhe($T85,6),$C84,0)</f>
        <v>12.764932965387533</v>
      </c>
      <c r="K86" s="120">
        <f ca="1">[1]!ripe([1]!Olekuvorrand($C84,$T85,$Y85,$X85,$W85,K$4,[1]!juhe($T85,6),TRUE),[1]!juhe($T85,6),$C84,0)</f>
        <v>12.782473394531848</v>
      </c>
      <c r="L86" s="120">
        <f ca="1">[1]!ripe([1]!Olekuvorrand($C84,$T85,$Y85,$X85,$W85,L$4,[1]!juhe($T85,6),TRUE),[1]!juhe($T85,6),$C84,0)</f>
        <v>12.800004686823845</v>
      </c>
      <c r="M86" s="120">
        <f ca="1">[1]!ripe([1]!Olekuvorrand($C84,$T85,$Y85,$X85,$W85,M$4,[1]!juhe($T85,6),TRUE),[1]!juhe($T85,6),$C84,0)</f>
        <v>12.81751505538635</v>
      </c>
      <c r="N86" s="120">
        <f ca="1">[1]!ripe([1]!Olekuvorrand($C84,$T85,$Y85,$X85,$W85,N$4,[1]!juhe($T85,6),TRUE),[1]!juhe($T85,6),$C84,0)</f>
        <v>12.83502721968855</v>
      </c>
      <c r="O86" s="207"/>
      <c r="P86" s="136"/>
      <c r="Q86" s="142"/>
      <c r="R86" s="129"/>
      <c r="S86" s="129"/>
      <c r="T86" s="129"/>
      <c r="U86" s="129"/>
      <c r="V86" s="129"/>
      <c r="W86" s="129"/>
      <c r="X86" s="129"/>
      <c r="Y86" s="129"/>
      <c r="Z86" s="129"/>
      <c r="AA86" s="128"/>
    </row>
    <row r="87" spans="1:29" s="114" customFormat="1" x14ac:dyDescent="0.2">
      <c r="A87" s="187"/>
      <c r="B87" s="188"/>
      <c r="C87" s="207"/>
      <c r="D87" s="118" t="s">
        <v>195</v>
      </c>
      <c r="E87" s="120">
        <f ca="1">[1]!ripe([1]!Olekuvorrand($C84,$T85,$Y85,$X85,$W85,E$4,[1]!juhe($T85,6)),[1]!juhe($T85,6),$C84,0)</f>
        <v>12.677092001570205</v>
      </c>
      <c r="F87" s="120">
        <f ca="1">[1]!ripe([1]!Olekuvorrand($C84,$T85,$Y85,$X85,$W85,F$4,[1]!juhe($T85,6)),[1]!juhe($T85,6),$C84,0)</f>
        <v>12.694685313356214</v>
      </c>
      <c r="G87" s="120">
        <f ca="1">[1]!ripe([1]!Olekuvorrand($C84,$T85,$Y85,$X85,$W85,G$4,[1]!juhe($T85,6)),[1]!juhe($T85,6),$C84,0)</f>
        <v>12.712259576525486</v>
      </c>
      <c r="H87" s="120">
        <f ca="1">[1]!ripe([1]!Olekuvorrand($C84,$T85,$Y85,$X85,$W85,H$4,[1]!juhe($T85,6)),[1]!juhe($T85,6),$C84,0)</f>
        <v>12.729825785674604</v>
      </c>
      <c r="I87" s="120">
        <f ca="1">[1]!ripe([1]!Olekuvorrand($C84,$T85,$Y85,$X85,$W85,I$4,[1]!juhe($T85,6)),[1]!juhe($T85,6),$C84,0)</f>
        <v>12.7473836719884</v>
      </c>
      <c r="J87" s="120">
        <f ca="1">[1]!ripe([1]!Olekuvorrand($C84,$T85,$Y85,$X85,$W85,J$4,[1]!juhe($T85,6)),[1]!juhe($T85,6),$C84,0)</f>
        <v>12.764932965387533</v>
      </c>
      <c r="K87" s="120">
        <f ca="1">[1]!ripe([1]!Olekuvorrand($C84,$T85,$Y85,$X85,$W85,K$4,[1]!juhe($T85,6)),[1]!juhe($T85,6),$C84,0)</f>
        <v>12.782473394531848</v>
      </c>
      <c r="L87" s="120">
        <f ca="1">[1]!ripe([1]!Olekuvorrand($C84,$T85,$Y85,$X85,$W85,L$4,[1]!juhe($T85,6)),[1]!juhe($T85,6),$C84,0)</f>
        <v>12.800004686823845</v>
      </c>
      <c r="M87" s="120">
        <f ca="1">[1]!ripe([1]!Olekuvorrand($C84,$T85,$Y85,$X85,$W85,M$4,[1]!juhe($T85,6)),[1]!juhe($T85,6),$C84,0)</f>
        <v>12.81751505538635</v>
      </c>
      <c r="N87" s="120">
        <f ca="1">[1]!ripe([1]!Olekuvorrand($C84,$T85,$Y85,$X85,$W85,N$4,[1]!juhe($T85,6)),[1]!juhe($T85,6),$C84,0)</f>
        <v>12.83502721968855</v>
      </c>
      <c r="O87" s="207"/>
      <c r="P87" s="136"/>
      <c r="Q87" s="142"/>
      <c r="R87" s="129"/>
      <c r="S87" s="129"/>
      <c r="T87" s="129"/>
      <c r="U87" s="129"/>
      <c r="V87" s="129"/>
      <c r="W87" s="129"/>
      <c r="X87" s="129"/>
      <c r="Y87" s="129"/>
      <c r="Z87" s="129"/>
      <c r="AA87" s="128"/>
      <c r="AC87" s="121"/>
    </row>
    <row r="88" spans="1:29" x14ac:dyDescent="0.2">
      <c r="A88" s="105"/>
      <c r="B88" s="113" t="str">
        <f ca="1">INDIRECT("Visangud!C" &amp; R88)</f>
        <v>144Y-145Y</v>
      </c>
      <c r="C88" s="106">
        <f ca="1">INDIRECT("Visangud!"&amp;Q88&amp;R88)</f>
        <v>455.65188905548916</v>
      </c>
      <c r="D88" s="10" t="s">
        <v>31</v>
      </c>
      <c r="E88" s="12">
        <f ca="1">[1]!ripe(E$84,[1]!juhe($T$7,6),$C88,0)</f>
        <v>12.08780212579193</v>
      </c>
      <c r="F88" s="12">
        <f ca="1">[1]!ripe(F$84,[1]!juhe($T$7,6),$C88,0)</f>
        <v>12.104577619065962</v>
      </c>
      <c r="G88" s="12">
        <f ca="1">[1]!ripe(G$84,[1]!juhe($T$7,6),$C88,0)</f>
        <v>12.121334949191077</v>
      </c>
      <c r="H88" s="12">
        <f ca="1">[1]!ripe(H$84,[1]!juhe($T$7,6),$C88,0)</f>
        <v>12.138084599684149</v>
      </c>
      <c r="I88" s="12">
        <f ca="1">[1]!ripe(I$84,[1]!juhe($T$7,6),$C88,0)</f>
        <v>12.154826314225783</v>
      </c>
      <c r="J88" s="12">
        <f ca="1">[1]!ripe(J$84,[1]!juhe($T$7,6),$C88,0)</f>
        <v>12.171559835291173</v>
      </c>
      <c r="K88" s="12">
        <f ca="1">[1]!ripe(K$84,[1]!juhe($T$7,6),$C88,0)</f>
        <v>12.188284904153315</v>
      </c>
      <c r="L88" s="12">
        <f ca="1">[1]!ripe(L$84,[1]!juhe($T$7,6),$C88,0)</f>
        <v>12.205001260886295</v>
      </c>
      <c r="M88" s="12">
        <f ca="1">[1]!ripe(M$84,[1]!juhe($T$7,6),$C88,0)</f>
        <v>12.221697666521518</v>
      </c>
      <c r="N88" s="12">
        <f ca="1">[1]!ripe(N$84,[1]!juhe($T$7,6),$C88,0)</f>
        <v>12.238395784422147</v>
      </c>
      <c r="O88" s="124"/>
      <c r="Q88" s="139" t="s">
        <v>209</v>
      </c>
      <c r="R88" s="129">
        <v>56</v>
      </c>
      <c r="S88" s="129"/>
      <c r="T88" s="129"/>
      <c r="U88" s="129"/>
      <c r="V88" s="129"/>
      <c r="W88" s="129"/>
      <c r="X88" s="129"/>
      <c r="Y88" s="129"/>
      <c r="Z88" s="129"/>
      <c r="AC88" s="11"/>
    </row>
    <row r="89" spans="1:29" x14ac:dyDescent="0.2">
      <c r="A89" s="108"/>
      <c r="B89" s="113" t="str">
        <f t="shared" ref="B89:B91" ca="1" si="31">INDIRECT("Visangud!C" &amp; R89)</f>
        <v>145Y-146Y</v>
      </c>
      <c r="C89" s="106">
        <f t="shared" ref="C89:C91" ca="1" si="32">INDIRECT("Visangud!"&amp;Q89&amp;R89)</f>
        <v>475.51169912002717</v>
      </c>
      <c r="D89" s="10" t="s">
        <v>31</v>
      </c>
      <c r="E89" s="12">
        <f ca="1">[1]!ripe(E$84,[1]!juhe($T$7,6),$C89,0)</f>
        <v>13.164470775952491</v>
      </c>
      <c r="F89" s="12">
        <f ca="1">[1]!ripe(F$84,[1]!juhe($T$7,6),$C89,0)</f>
        <v>13.182740473674214</v>
      </c>
      <c r="G89" s="12">
        <f ca="1">[1]!ripe(G$84,[1]!juhe($T$7,6),$C89,0)</f>
        <v>13.200990390443147</v>
      </c>
      <c r="H89" s="12">
        <f ca="1">[1]!ripe(H$84,[1]!juhe($T$7,6),$C89,0)</f>
        <v>13.219231943550058</v>
      </c>
      <c r="I89" s="12">
        <f ca="1">[1]!ripe(I$84,[1]!juhe($T$7,6),$C89,0)</f>
        <v>13.237464853845008</v>
      </c>
      <c r="J89" s="12">
        <f ca="1">[1]!ripe(J$84,[1]!juhe($T$7,6),$C89,0)</f>
        <v>13.255688840865288</v>
      </c>
      <c r="K89" s="12">
        <f ca="1">[1]!ripe(K$84,[1]!juhe($T$7,6),$C89,0)</f>
        <v>13.273903622838899</v>
      </c>
      <c r="L89" s="12">
        <f ca="1">[1]!ripe(L$84,[1]!juhe($T$7,6),$C89,0)</f>
        <v>13.292108916688155</v>
      </c>
      <c r="M89" s="12">
        <f ca="1">[1]!ripe(M$84,[1]!juhe($T$7,6),$C89,0)</f>
        <v>13.310292482381984</v>
      </c>
      <c r="N89" s="12">
        <f ca="1">[1]!ripe(N$84,[1]!juhe($T$7,6),$C89,0)</f>
        <v>13.328477912853849</v>
      </c>
      <c r="O89" s="125"/>
      <c r="Q89" s="139" t="s">
        <v>209</v>
      </c>
      <c r="R89" s="129">
        <v>57</v>
      </c>
      <c r="S89" s="129"/>
      <c r="T89" s="129"/>
      <c r="U89" s="129"/>
      <c r="V89" s="129"/>
      <c r="W89" s="129"/>
      <c r="X89" s="129"/>
      <c r="Y89" s="129"/>
      <c r="Z89" s="129"/>
    </row>
    <row r="90" spans="1:29" x14ac:dyDescent="0.2">
      <c r="A90" s="108"/>
      <c r="B90" s="113" t="str">
        <f t="shared" ca="1" si="31"/>
        <v>146Y-147Y</v>
      </c>
      <c r="C90" s="106">
        <f t="shared" ca="1" si="32"/>
        <v>439.71215675729928</v>
      </c>
      <c r="D90" s="10" t="s">
        <v>31</v>
      </c>
      <c r="E90" s="12">
        <f ca="1">[1]!ripe(E$84,[1]!juhe($T$7,6),$C90,0)</f>
        <v>11.256877431359186</v>
      </c>
      <c r="F90" s="12">
        <f ca="1">[1]!ripe(F$84,[1]!juhe($T$7,6),$C90,0)</f>
        <v>11.272499764490654</v>
      </c>
      <c r="G90" s="12">
        <f ca="1">[1]!ripe(G$84,[1]!juhe($T$7,6),$C90,0)</f>
        <v>11.288105183021846</v>
      </c>
      <c r="H90" s="12">
        <f ca="1">[1]!ripe(H$84,[1]!juhe($T$7,6),$C90,0)</f>
        <v>11.303703449824734</v>
      </c>
      <c r="I90" s="12">
        <f ca="1">[1]!ripe(I$84,[1]!juhe($T$7,6),$C90,0)</f>
        <v>11.319294326199509</v>
      </c>
      <c r="J90" s="12">
        <f ca="1">[1]!ripe(J$84,[1]!juhe($T$7,6),$C90,0)</f>
        <v>11.334877572323821</v>
      </c>
      <c r="K90" s="12">
        <f ca="1">[1]!ripe(K$84,[1]!juhe($T$7,6),$C90,0)</f>
        <v>11.350452947255748</v>
      </c>
      <c r="L90" s="12">
        <f ca="1">[1]!ripe(L$84,[1]!juhe($T$7,6),$C90,0)</f>
        <v>11.366020208936888</v>
      </c>
      <c r="M90" s="12">
        <f ca="1">[1]!ripe(M$84,[1]!juhe($T$7,6),$C90,0)</f>
        <v>11.381568890973876</v>
      </c>
      <c r="N90" s="12">
        <f ca="1">[1]!ripe(N$84,[1]!juhe($T$7,6),$C90,0)</f>
        <v>11.397119167573846</v>
      </c>
      <c r="O90" s="125"/>
      <c r="Q90" s="139" t="s">
        <v>209</v>
      </c>
      <c r="R90" s="129">
        <v>58</v>
      </c>
      <c r="S90" s="129"/>
      <c r="T90" s="129"/>
      <c r="U90" s="129"/>
      <c r="V90" s="129"/>
      <c r="W90" s="129"/>
      <c r="X90" s="129"/>
      <c r="Y90" s="129"/>
      <c r="Z90" s="129"/>
    </row>
    <row r="91" spans="1:29" x14ac:dyDescent="0.2">
      <c r="A91" s="108"/>
      <c r="B91" s="113" t="str">
        <f t="shared" ca="1" si="31"/>
        <v>147Y-148Y</v>
      </c>
      <c r="C91" s="106">
        <f t="shared" ca="1" si="32"/>
        <v>490.79630907322172</v>
      </c>
      <c r="D91" s="10" t="s">
        <v>31</v>
      </c>
      <c r="E91" s="12">
        <f ca="1">[1]!ripe(E$84,[1]!juhe($T$7,6),$C91,0)</f>
        <v>14.024376680528672</v>
      </c>
      <c r="F91" s="12">
        <f ca="1">[1]!ripe(F$84,[1]!juhe($T$7,6),$C91,0)</f>
        <v>14.043839758615857</v>
      </c>
      <c r="G91" s="12">
        <f ca="1">[1]!ripe(G$84,[1]!juhe($T$7,6),$C91,0)</f>
        <v>14.0632817636544</v>
      </c>
      <c r="H91" s="12">
        <f ca="1">[1]!ripe(H$84,[1]!juhe($T$7,6),$C91,0)</f>
        <v>14.082714858714819</v>
      </c>
      <c r="I91" s="12">
        <f ca="1">[1]!ripe(I$84,[1]!juhe($T$7,6),$C91,0)</f>
        <v>14.102138746413045</v>
      </c>
      <c r="J91" s="12">
        <f ca="1">[1]!ripe(J$84,[1]!juhe($T$7,6),$C91,0)</f>
        <v>14.121553127966486</v>
      </c>
      <c r="K91" s="12">
        <f ca="1">[1]!ripe(K$84,[1]!juhe($T$7,6),$C91,0)</f>
        <v>14.14095770319774</v>
      </c>
      <c r="L91" s="12">
        <f ca="1">[1]!ripe(L$84,[1]!juhe($T$7,6),$C91,0)</f>
        <v>14.160352170538431</v>
      </c>
      <c r="M91" s="12">
        <f ca="1">[1]!ripe(M$84,[1]!juhe($T$7,6),$C91,0)</f>
        <v>14.179723490436169</v>
      </c>
      <c r="N91" s="12">
        <f ca="1">[1]!ripe(N$84,[1]!juhe($T$7,6),$C91,0)</f>
        <v>14.199096796919623</v>
      </c>
      <c r="O91" s="125"/>
      <c r="Q91" s="139" t="s">
        <v>209</v>
      </c>
      <c r="R91" s="129">
        <v>59</v>
      </c>
      <c r="S91" s="129"/>
      <c r="T91" s="129"/>
      <c r="U91" s="129"/>
      <c r="V91" s="129"/>
      <c r="W91" s="129"/>
      <c r="X91" s="129"/>
      <c r="Y91" s="129"/>
      <c r="Z91" s="129"/>
    </row>
    <row r="92" spans="1:29" s="114" customFormat="1" hidden="1" x14ac:dyDescent="0.2">
      <c r="A92" s="187">
        <v>1</v>
      </c>
      <c r="B92" s="188" t="str">
        <f ca="1">R93</f>
        <v>148Y- 151Y</v>
      </c>
      <c r="C92" s="207">
        <f ca="1">S93</f>
        <v>461.53149095186666</v>
      </c>
      <c r="D92" s="118" t="s">
        <v>130</v>
      </c>
      <c r="E92" s="119">
        <f ca="1">[1]!Olekuvorrand($C92,$T93,$Y93,$X93,$W93,E$4,[1]!juhe($T93,6),TRUE)</f>
        <v>134.44942235946655</v>
      </c>
      <c r="F92" s="119">
        <f ca="1">[1]!Olekuvorrand($C92,$T93,$Y93,$X93,$W93,F$4,[1]!juhe($T93,6),TRUE)</f>
        <v>134.25928354263306</v>
      </c>
      <c r="G92" s="119">
        <f ca="1">[1]!Olekuvorrand($C92,$T93,$Y93,$X93,$W93,G$4,[1]!juhe($T93,6),TRUE)</f>
        <v>134.06985998153687</v>
      </c>
      <c r="H92" s="119">
        <f ca="1">[1]!Olekuvorrand($C92,$T93,$Y93,$X93,$W93,H$4,[1]!juhe($T93,6),TRUE)</f>
        <v>133.88103246688843</v>
      </c>
      <c r="I92" s="119">
        <f ca="1">[1]!Olekuvorrand($C92,$T93,$Y93,$X93,$W93,I$4,[1]!juhe($T93,6),TRUE)</f>
        <v>133.69280099868774</v>
      </c>
      <c r="J92" s="119">
        <f ca="1">[1]!Olekuvorrand($C92,$T93,$Y93,$X93,$W93,J$4,[1]!juhe($T93,6),TRUE)</f>
        <v>133.50528478622437</v>
      </c>
      <c r="K92" s="119">
        <f ca="1">[1]!Olekuvorrand($C92,$T93,$Y93,$X93,$W93,K$4,[1]!juhe($T93,6),TRUE)</f>
        <v>133.31836462020874</v>
      </c>
      <c r="L92" s="119">
        <f ca="1">[1]!Olekuvorrand($C92,$T93,$Y93,$X93,$W93,L$4,[1]!juhe($T93,6),TRUE)</f>
        <v>133.13215970993042</v>
      </c>
      <c r="M92" s="119">
        <f ca="1">[1]!Olekuvorrand($C92,$T93,$Y93,$X93,$W93,M$4,[1]!juhe($T93,6),TRUE)</f>
        <v>132.9464316368103</v>
      </c>
      <c r="N92" s="119">
        <f ca="1">[1]!Olekuvorrand($C92,$T93,$Y93,$X93,$W93,N$4,[1]!juhe($T93,6),TRUE)</f>
        <v>132.76141881942749</v>
      </c>
      <c r="O92" s="207">
        <f ca="1">U93</f>
        <v>133.50528478622437</v>
      </c>
      <c r="P92" s="136"/>
      <c r="Q92" s="142"/>
      <c r="R92" s="129"/>
      <c r="S92" s="129"/>
      <c r="T92" s="129"/>
      <c r="U92" s="129"/>
      <c r="V92" s="129"/>
      <c r="W92" s="129"/>
      <c r="X92" s="129"/>
      <c r="Y92" s="129"/>
      <c r="Z92" s="129"/>
      <c r="AA92" s="128"/>
    </row>
    <row r="93" spans="1:29" s="114" customFormat="1" x14ac:dyDescent="0.2">
      <c r="A93" s="187"/>
      <c r="B93" s="188"/>
      <c r="C93" s="207"/>
      <c r="D93" s="118" t="s">
        <v>32</v>
      </c>
      <c r="E93" s="119">
        <f ca="1">E92*[1]!juhe($T93,2)/10</f>
        <v>1254.4131106138229</v>
      </c>
      <c r="F93" s="119">
        <f ca="1">F92*[1]!juhe($T93,2)/10</f>
        <v>1252.6391154527664</v>
      </c>
      <c r="G93" s="119">
        <f ca="1">G92*[1]!juhe($T93,2)/10</f>
        <v>1250.871793627739</v>
      </c>
      <c r="H93" s="119">
        <f ca="1">H92*[1]!juhe($T93,2)/10</f>
        <v>1249.110032916069</v>
      </c>
      <c r="I93" s="119">
        <f ca="1">I92*[1]!juhe($T93,2)/10</f>
        <v>1247.3538333177567</v>
      </c>
      <c r="J93" s="119">
        <f ca="1">J92*[1]!juhe($T93,2)/10</f>
        <v>1245.6043070554733</v>
      </c>
      <c r="K93" s="119">
        <f ca="1">K92*[1]!juhe($T93,2)/10</f>
        <v>1243.8603419065475</v>
      </c>
      <c r="L93" s="119">
        <f ca="1">L92*[1]!juhe($T93,2)/10</f>
        <v>1242.1230500936508</v>
      </c>
      <c r="M93" s="119">
        <f ca="1">M92*[1]!juhe($T93,2)/10</f>
        <v>1240.3902071714401</v>
      </c>
      <c r="N93" s="119">
        <f ca="1">N92*[1]!juhe($T93,2)/10</f>
        <v>1238.6640375852585</v>
      </c>
      <c r="O93" s="207"/>
      <c r="P93" s="136"/>
      <c r="Q93" s="142" t="s">
        <v>210</v>
      </c>
      <c r="R93" s="129" t="str">
        <f t="shared" ref="R93:Y93" ca="1" si="33">INDIRECT("'"&amp;$S$1&amp;"'!"&amp;$Q93&amp;R$4)</f>
        <v>148Y- 151Y</v>
      </c>
      <c r="S93" s="129">
        <f t="shared" ca="1" si="33"/>
        <v>461.53149095186666</v>
      </c>
      <c r="T93" s="129" t="str">
        <f t="shared" ca="1" si="33"/>
        <v>OPGW-2S 2/48B1 (0/93-55.3)</v>
      </c>
      <c r="U93" s="129">
        <f t="shared" ca="1" si="33"/>
        <v>133.50528478622437</v>
      </c>
      <c r="V93" s="129">
        <f t="shared" ca="1" si="33"/>
        <v>5</v>
      </c>
      <c r="W93" s="129">
        <f t="shared" ca="1" si="33"/>
        <v>0.2219143072260884</v>
      </c>
      <c r="X93" s="129">
        <f t="shared" ca="1" si="33"/>
        <v>-5</v>
      </c>
      <c r="Y93" s="129">
        <f t="shared" ca="1" si="33"/>
        <v>353.01357507705688</v>
      </c>
      <c r="Z93" s="129">
        <v>1</v>
      </c>
      <c r="AA93" s="128"/>
    </row>
    <row r="94" spans="1:29" s="114" customFormat="1" x14ac:dyDescent="0.2">
      <c r="A94" s="187"/>
      <c r="B94" s="188"/>
      <c r="C94" s="207"/>
      <c r="D94" s="118" t="s">
        <v>31</v>
      </c>
      <c r="E94" s="120">
        <f ca="1">[1]!ripe([1]!Olekuvorrand($C92,$T93,$Y93,$X93,$W93,E$4,[1]!juhe($T93,6),TRUE),[1]!juhe($T93,6),$C92,0)</f>
        <v>12.377523725679687</v>
      </c>
      <c r="F94" s="120">
        <f ca="1">[1]!ripe([1]!Olekuvorrand($C92,$T93,$Y93,$X93,$W93,F$4,[1]!juhe($T93,6),TRUE),[1]!juhe($T93,6),$C92,0)</f>
        <v>12.395052850328874</v>
      </c>
      <c r="G94" s="120">
        <f ca="1">[1]!ripe([1]!Olekuvorrand($C92,$T93,$Y93,$X93,$W93,G$4,[1]!juhe($T93,6),TRUE),[1]!juhe($T93,6),$C92,0)</f>
        <v>12.412565474353455</v>
      </c>
      <c r="H94" s="120">
        <f ca="1">[1]!ripe([1]!Olekuvorrand($C92,$T93,$Y93,$X93,$W93,H$4,[1]!juhe($T93,6),TRUE),[1]!juhe($T93,6),$C92,0)</f>
        <v>12.430072314909923</v>
      </c>
      <c r="I94" s="120">
        <f ca="1">[1]!ripe([1]!Olekuvorrand($C92,$T93,$Y93,$X93,$W93,I$4,[1]!juhe($T93,6),TRUE),[1]!juhe($T93,6),$C92,0)</f>
        <v>12.447573113338846</v>
      </c>
      <c r="J94" s="120">
        <f ca="1">[1]!ripe([1]!Olekuvorrand($C92,$T93,$Y93,$X93,$W93,J$4,[1]!juhe($T93,6),TRUE),[1]!juhe($T93,6),$C92,0)</f>
        <v>12.46505647939669</v>
      </c>
      <c r="K94" s="120">
        <f ca="1">[1]!ripe([1]!Olekuvorrand($C92,$T93,$Y93,$X93,$W93,K$4,[1]!juhe($T93,6),TRUE),[1]!juhe($T93,6),$C92,0)</f>
        <v>12.482533219627944</v>
      </c>
      <c r="L94" s="120">
        <f ca="1">[1]!ripe([1]!Olekuvorrand($C92,$T93,$Y93,$X93,$W93,L$4,[1]!juhe($T93,6),TRUE),[1]!juhe($T93,6),$C92,0)</f>
        <v>12.499991878627176</v>
      </c>
      <c r="M94" s="120">
        <f ca="1">[1]!ripe([1]!Olekuvorrand($C92,$T93,$Y93,$X93,$W93,M$4,[1]!juhe($T93,6),TRUE),[1]!juhe($T93,6),$C92,0)</f>
        <v>12.517454546688676</v>
      </c>
      <c r="N94" s="120">
        <f ca="1">[1]!ripe([1]!Olekuvorrand($C92,$T93,$Y93,$X93,$W93,N$4,[1]!juhe($T93,6),TRUE),[1]!juhe($T93,6),$C92,0)</f>
        <v>12.534898541734361</v>
      </c>
      <c r="O94" s="207"/>
      <c r="P94" s="136"/>
      <c r="Q94" s="142"/>
      <c r="R94" s="129"/>
      <c r="S94" s="129"/>
      <c r="T94" s="129"/>
      <c r="U94" s="129"/>
      <c r="V94" s="129"/>
      <c r="W94" s="129"/>
      <c r="X94" s="129"/>
      <c r="Y94" s="129"/>
      <c r="Z94" s="129"/>
      <c r="AA94" s="128"/>
    </row>
    <row r="95" spans="1:29" s="114" customFormat="1" x14ac:dyDescent="0.2">
      <c r="A95" s="187"/>
      <c r="B95" s="188"/>
      <c r="C95" s="207"/>
      <c r="D95" s="118" t="s">
        <v>195</v>
      </c>
      <c r="E95" s="120">
        <f ca="1">[1]!ripe([1]!Olekuvorrand($C92,$T93,$Y93,$X93,$W93,E$4,[1]!juhe($T93,6)),[1]!juhe($T93,6),$C92,0)</f>
        <v>12.377523725679687</v>
      </c>
      <c r="F95" s="120">
        <f ca="1">[1]!ripe([1]!Olekuvorrand($C92,$T93,$Y93,$X93,$W93,F$4,[1]!juhe($T93,6)),[1]!juhe($T93,6),$C92,0)</f>
        <v>12.395052850328874</v>
      </c>
      <c r="G95" s="120">
        <f ca="1">[1]!ripe([1]!Olekuvorrand($C92,$T93,$Y93,$X93,$W93,G$4,[1]!juhe($T93,6)),[1]!juhe($T93,6),$C92,0)</f>
        <v>12.412565474353455</v>
      </c>
      <c r="H95" s="120">
        <f ca="1">[1]!ripe([1]!Olekuvorrand($C92,$T93,$Y93,$X93,$W93,H$4,[1]!juhe($T93,6)),[1]!juhe($T93,6),$C92,0)</f>
        <v>12.430072314909923</v>
      </c>
      <c r="I95" s="120">
        <f ca="1">[1]!ripe([1]!Olekuvorrand($C92,$T93,$Y93,$X93,$W93,I$4,[1]!juhe($T93,6)),[1]!juhe($T93,6),$C92,0)</f>
        <v>12.447573113338846</v>
      </c>
      <c r="J95" s="120">
        <f ca="1">[1]!ripe([1]!Olekuvorrand($C92,$T93,$Y93,$X93,$W93,J$4,[1]!juhe($T93,6)),[1]!juhe($T93,6),$C92,0)</f>
        <v>12.46505647939669</v>
      </c>
      <c r="K95" s="120">
        <f ca="1">[1]!ripe([1]!Olekuvorrand($C92,$T93,$Y93,$X93,$W93,K$4,[1]!juhe($T93,6)),[1]!juhe($T93,6),$C92,0)</f>
        <v>12.482533219627944</v>
      </c>
      <c r="L95" s="120">
        <f ca="1">[1]!ripe([1]!Olekuvorrand($C92,$T93,$Y93,$X93,$W93,L$4,[1]!juhe($T93,6)),[1]!juhe($T93,6),$C92,0)</f>
        <v>12.499991878627176</v>
      </c>
      <c r="M95" s="120">
        <f ca="1">[1]!ripe([1]!Olekuvorrand($C92,$T93,$Y93,$X93,$W93,M$4,[1]!juhe($T93,6)),[1]!juhe($T93,6),$C92,0)</f>
        <v>12.517454546688676</v>
      </c>
      <c r="N95" s="120">
        <f ca="1">[1]!ripe([1]!Olekuvorrand($C92,$T93,$Y93,$X93,$W93,N$4,[1]!juhe($T93,6)),[1]!juhe($T93,6),$C92,0)</f>
        <v>12.534898541734361</v>
      </c>
      <c r="O95" s="207"/>
      <c r="P95" s="136"/>
      <c r="Q95" s="142"/>
      <c r="R95" s="129"/>
      <c r="S95" s="129"/>
      <c r="T95" s="129"/>
      <c r="U95" s="129"/>
      <c r="V95" s="129"/>
      <c r="W95" s="129"/>
      <c r="X95" s="129"/>
      <c r="Y95" s="129"/>
      <c r="Z95" s="129"/>
      <c r="AA95" s="128"/>
      <c r="AC95" s="121"/>
    </row>
    <row r="96" spans="1:29" x14ac:dyDescent="0.2">
      <c r="A96" s="105"/>
      <c r="B96" s="113" t="str">
        <f ca="1">INDIRECT("Visangud!C" &amp; R96)</f>
        <v>148Y-149Y</v>
      </c>
      <c r="C96" s="106">
        <f ca="1">INDIRECT("Visangud!"&amp;Q96&amp;R96)</f>
        <v>455.88600822974109</v>
      </c>
      <c r="D96" s="10" t="s">
        <v>31</v>
      </c>
      <c r="E96" s="12">
        <f ca="1">[1]!ripe(E$92,[1]!juhe($T$7,6),$C96,0)</f>
        <v>12.076570368687591</v>
      </c>
      <c r="F96" s="12">
        <f ca="1">[1]!ripe(F$92,[1]!juhe($T$7,6),$C96,0)</f>
        <v>12.093673281355672</v>
      </c>
      <c r="G96" s="12">
        <f ca="1">[1]!ripe(G$92,[1]!juhe($T$7,6),$C96,0)</f>
        <v>12.110760094603659</v>
      </c>
      <c r="H96" s="12">
        <f ca="1">[1]!ripe(H$92,[1]!juhe($T$7,6),$C96,0)</f>
        <v>12.127841265005696</v>
      </c>
      <c r="I96" s="12">
        <f ca="1">[1]!ripe(I$92,[1]!juhe($T$7,6),$C96,0)</f>
        <v>12.144916540191524</v>
      </c>
      <c r="J96" s="12">
        <f ca="1">[1]!ripe(J$92,[1]!juhe($T$7,6),$C96,0)</f>
        <v>12.161974806865739</v>
      </c>
      <c r="K96" s="12">
        <f ca="1">[1]!ripe(K$92,[1]!juhe($T$7,6),$C96,0)</f>
        <v>12.179026608817056</v>
      </c>
      <c r="L96" s="12">
        <f ca="1">[1]!ripe(L$92,[1]!juhe($T$7,6),$C96,0)</f>
        <v>12.196060769172549</v>
      </c>
      <c r="M96" s="12">
        <f ca="1">[1]!ripe(M$92,[1]!juhe($T$7,6),$C96,0)</f>
        <v>12.213098841111947</v>
      </c>
      <c r="N96" s="12">
        <f ca="1">[1]!ripe(N$92,[1]!juhe($T$7,6),$C96,0)</f>
        <v>12.230118694060659</v>
      </c>
      <c r="O96" s="124"/>
      <c r="Q96" s="139" t="s">
        <v>210</v>
      </c>
      <c r="R96" s="129">
        <v>60</v>
      </c>
      <c r="S96" s="129"/>
      <c r="T96" s="129"/>
      <c r="U96" s="129"/>
      <c r="V96" s="129"/>
      <c r="W96" s="129"/>
      <c r="X96" s="129"/>
      <c r="Y96" s="129"/>
      <c r="Z96" s="129"/>
      <c r="AC96" s="11"/>
    </row>
    <row r="97" spans="1:29" x14ac:dyDescent="0.2">
      <c r="A97" s="108"/>
      <c r="B97" s="113" t="str">
        <f t="shared" ref="B97" ca="1" si="34">INDIRECT("Visangud!C" &amp; R97)</f>
        <v>149Y-150Y</v>
      </c>
      <c r="C97" s="106">
        <f t="shared" ref="C97" ca="1" si="35">INDIRECT("Visangud!"&amp;Q97&amp;R97)</f>
        <v>455.60098968291328</v>
      </c>
      <c r="D97" s="10" t="s">
        <v>31</v>
      </c>
      <c r="E97" s="12">
        <f ca="1">[1]!ripe(E$92,[1]!juhe($T$7,6),$C97,0)</f>
        <v>12.061474618888242</v>
      </c>
      <c r="F97" s="12">
        <f ca="1">[1]!ripe(F$92,[1]!juhe($T$7,6),$C97,0)</f>
        <v>12.078556152863317</v>
      </c>
      <c r="G97" s="12">
        <f ca="1">[1]!ripe(G$92,[1]!juhe($T$7,6),$C97,0)</f>
        <v>12.095621607542622</v>
      </c>
      <c r="H97" s="12">
        <f ca="1">[1]!ripe(H$92,[1]!juhe($T$7,6),$C97,0)</f>
        <v>12.112681426429551</v>
      </c>
      <c r="I97" s="12">
        <f ca="1">[1]!ripe(I$92,[1]!juhe($T$7,6),$C97,0)</f>
        <v>12.129735357469311</v>
      </c>
      <c r="J97" s="12">
        <f ca="1">[1]!ripe(J$92,[1]!juhe($T$7,6),$C97,0)</f>
        <v>12.146772301258149</v>
      </c>
      <c r="K97" s="12">
        <f ca="1">[1]!ripe(K$92,[1]!juhe($T$7,6),$C97,0)</f>
        <v>12.163802788405011</v>
      </c>
      <c r="L97" s="12">
        <f ca="1">[1]!ripe(L$92,[1]!juhe($T$7,6),$C97,0)</f>
        <v>12.180815656008098</v>
      </c>
      <c r="M97" s="12">
        <f ca="1">[1]!ripe(M$92,[1]!juhe($T$7,6),$C97,0)</f>
        <v>12.197832430305601</v>
      </c>
      <c r="N97" s="12">
        <f ca="1">[1]!ripe(N$92,[1]!juhe($T$7,6),$C97,0)</f>
        <v>12.214831008386208</v>
      </c>
      <c r="O97" s="125"/>
      <c r="Q97" s="139" t="s">
        <v>210</v>
      </c>
      <c r="R97" s="129">
        <v>61</v>
      </c>
      <c r="S97" s="129"/>
      <c r="T97" s="129"/>
      <c r="U97" s="129"/>
      <c r="V97" s="129"/>
      <c r="W97" s="129"/>
      <c r="X97" s="129"/>
      <c r="Y97" s="129"/>
      <c r="Z97" s="129"/>
    </row>
    <row r="98" spans="1:29" s="114" customFormat="1" hidden="1" x14ac:dyDescent="0.2">
      <c r="A98" s="187">
        <v>1</v>
      </c>
      <c r="B98" s="188" t="str">
        <f ca="1">R99</f>
        <v>151Y- 154Y</v>
      </c>
      <c r="C98" s="207">
        <f ca="1">S99</f>
        <v>407.59018580213103</v>
      </c>
      <c r="D98" s="118" t="s">
        <v>130</v>
      </c>
      <c r="E98" s="119">
        <f ca="1">[1]!Olekuvorrand($C98,$T99,$Y99,$X99,$W99,E$4,[1]!juhe($T99,6),TRUE)</f>
        <v>138.32014799118042</v>
      </c>
      <c r="F98" s="119">
        <f ca="1">[1]!Olekuvorrand($C98,$T99,$Y99,$X99,$W99,F$4,[1]!juhe($T99,6),TRUE)</f>
        <v>138.07433843612671</v>
      </c>
      <c r="G98" s="119">
        <f ca="1">[1]!Olekuvorrand($C98,$T99,$Y99,$X99,$W99,G$4,[1]!juhe($T99,6),TRUE)</f>
        <v>137.8294825553894</v>
      </c>
      <c r="H98" s="119">
        <f ca="1">[1]!Olekuvorrand($C98,$T99,$Y99,$X99,$W99,H$4,[1]!juhe($T99,6),TRUE)</f>
        <v>137.58569955825806</v>
      </c>
      <c r="I98" s="119">
        <f ca="1">[1]!Olekuvorrand($C98,$T99,$Y99,$X99,$W99,I$4,[1]!juhe($T99,6),TRUE)</f>
        <v>137.34287023544312</v>
      </c>
      <c r="J98" s="119">
        <f ca="1">[1]!Olekuvorrand($C98,$T99,$Y99,$X99,$W99,J$4,[1]!juhe($T99,6),TRUE)</f>
        <v>137.10087537765503</v>
      </c>
      <c r="K98" s="119">
        <f ca="1">[1]!Olekuvorrand($C98,$T99,$Y99,$X99,$W99,K$4,[1]!juhe($T99,6),TRUE)</f>
        <v>136.8599534034729</v>
      </c>
      <c r="L98" s="119">
        <f ca="1">[1]!Olekuvorrand($C98,$T99,$Y99,$X99,$W99,L$4,[1]!juhe($T99,6),TRUE)</f>
        <v>136.61986589431763</v>
      </c>
      <c r="M98" s="119">
        <f ca="1">[1]!Olekuvorrand($C98,$T99,$Y99,$X99,$W99,M$4,[1]!juhe($T99,6),TRUE)</f>
        <v>136.38085126876831</v>
      </c>
      <c r="N98" s="119">
        <f ca="1">[1]!Olekuvorrand($C98,$T99,$Y99,$X99,$W99,N$4,[1]!juhe($T99,6),TRUE)</f>
        <v>136.14267110824585</v>
      </c>
      <c r="O98" s="207">
        <f ca="1">U99</f>
        <v>137.10087537765503</v>
      </c>
      <c r="P98" s="136"/>
      <c r="Q98" s="142"/>
      <c r="R98" s="129"/>
      <c r="S98" s="129"/>
      <c r="T98" s="129"/>
      <c r="U98" s="129"/>
      <c r="V98" s="129"/>
      <c r="W98" s="129"/>
      <c r="X98" s="129"/>
      <c r="Y98" s="129"/>
      <c r="Z98" s="129"/>
      <c r="AA98" s="128"/>
    </row>
    <row r="99" spans="1:29" s="114" customFormat="1" x14ac:dyDescent="0.2">
      <c r="A99" s="187"/>
      <c r="B99" s="188"/>
      <c r="C99" s="207"/>
      <c r="D99" s="118" t="s">
        <v>32</v>
      </c>
      <c r="E99" s="119">
        <f ca="1">E98*[1]!juhe($T99,2)/10</f>
        <v>1290.5269807577133</v>
      </c>
      <c r="F99" s="119">
        <f ca="1">F98*[1]!juhe($T99,2)/10</f>
        <v>1288.2335776090622</v>
      </c>
      <c r="G99" s="119">
        <f ca="1">G98*[1]!juhe($T99,2)/10</f>
        <v>1285.9490722417831</v>
      </c>
      <c r="H99" s="119">
        <f ca="1">H98*[1]!juhe($T99,2)/10</f>
        <v>1283.6745768785477</v>
      </c>
      <c r="I99" s="119">
        <f ca="1">I98*[1]!juhe($T99,2)/10</f>
        <v>1281.4089792966843</v>
      </c>
      <c r="J99" s="119">
        <f ca="1">J98*[1]!juhe($T99,2)/10</f>
        <v>1279.1511672735214</v>
      </c>
      <c r="K99" s="119">
        <f ca="1">K98*[1]!juhe($T99,2)/10</f>
        <v>1276.9033652544022</v>
      </c>
      <c r="L99" s="119">
        <f ca="1">L98*[1]!juhe($T99,2)/10</f>
        <v>1274.6633487939835</v>
      </c>
      <c r="M99" s="119">
        <f ca="1">M98*[1]!juhe($T99,2)/10</f>
        <v>1272.4333423376083</v>
      </c>
      <c r="N99" s="119">
        <f ca="1">N98*[1]!juhe($T99,2)/10</f>
        <v>1270.2111214399338</v>
      </c>
      <c r="O99" s="207"/>
      <c r="P99" s="136"/>
      <c r="Q99" s="142" t="s">
        <v>211</v>
      </c>
      <c r="R99" s="129" t="str">
        <f t="shared" ref="R99:Y99" ca="1" si="36">INDIRECT("'"&amp;$S$1&amp;"'!"&amp;$Q99&amp;R$4)</f>
        <v>151Y- 154Y</v>
      </c>
      <c r="S99" s="129">
        <f t="shared" ca="1" si="36"/>
        <v>407.59018580213103</v>
      </c>
      <c r="T99" s="129" t="str">
        <f t="shared" ca="1" si="36"/>
        <v>OPGW-2S 2/48B1 (0/93-55.3)</v>
      </c>
      <c r="U99" s="129">
        <f t="shared" ca="1" si="36"/>
        <v>137.10087537765503</v>
      </c>
      <c r="V99" s="129">
        <f t="shared" ca="1" si="36"/>
        <v>5</v>
      </c>
      <c r="W99" s="129">
        <f t="shared" ca="1" si="36"/>
        <v>0.22318165896968936</v>
      </c>
      <c r="X99" s="129">
        <f t="shared" ca="1" si="36"/>
        <v>-5</v>
      </c>
      <c r="Y99" s="129">
        <f t="shared" ca="1" si="36"/>
        <v>344.14297342300415</v>
      </c>
      <c r="Z99" s="129">
        <v>1</v>
      </c>
      <c r="AA99" s="128"/>
    </row>
    <row r="100" spans="1:29" s="114" customFormat="1" x14ac:dyDescent="0.2">
      <c r="A100" s="187"/>
      <c r="B100" s="188"/>
      <c r="C100" s="207"/>
      <c r="D100" s="118" t="s">
        <v>31</v>
      </c>
      <c r="E100" s="120">
        <f ca="1">[1]!ripe([1]!Olekuvorrand($C98,$T99,$Y99,$X99,$W99,E$4,[1]!juhe($T99,6),TRUE),[1]!juhe($T99,6),$C98,0)</f>
        <v>9.3832226572123556</v>
      </c>
      <c r="F100" s="120">
        <f ca="1">[1]!ripe([1]!Olekuvorrand($C98,$T99,$Y99,$X99,$W99,F$4,[1]!juhe($T99,6),TRUE),[1]!juhe($T99,6),$C98,0)</f>
        <v>9.3999273237888055</v>
      </c>
      <c r="G100" s="120">
        <f ca="1">[1]!ripe([1]!Olekuvorrand($C98,$T99,$Y99,$X99,$W99,G$4,[1]!juhe($T99,6),TRUE),[1]!juhe($T99,6),$C98,0)</f>
        <v>9.4166264177784242</v>
      </c>
      <c r="H100" s="120">
        <f ca="1">[1]!ripe([1]!Olekuvorrand($C98,$T99,$Y99,$X99,$W99,H$4,[1]!juhe($T99,6),TRUE),[1]!juhe($T99,6),$C98,0)</f>
        <v>9.4333113888063913</v>
      </c>
      <c r="I100" s="120">
        <f ca="1">[1]!ripe([1]!Olekuvorrand($C98,$T99,$Y99,$X99,$W99,I$4,[1]!juhe($T99,6),TRUE),[1]!juhe($T99,6),$C98,0)</f>
        <v>9.4499899729405339</v>
      </c>
      <c r="J100" s="120">
        <f ca="1">[1]!ripe([1]!Olekuvorrand($C98,$T99,$Y99,$X99,$W99,J$4,[1]!juhe($T99,6),TRUE),[1]!juhe($T99,6),$C98,0)</f>
        <v>9.466670019463221</v>
      </c>
      <c r="K100" s="120">
        <f ca="1">[1]!ripe([1]!Olekuvorrand($C98,$T99,$Y99,$X99,$W99,K$4,[1]!juhe($T99,6),TRUE),[1]!juhe($T99,6),$C98,0)</f>
        <v>9.4833347104360151</v>
      </c>
      <c r="L100" s="120">
        <f ca="1">[1]!ripe([1]!Olekuvorrand($C98,$T99,$Y99,$X99,$W99,L$4,[1]!juhe($T99,6),TRUE),[1]!juhe($T99,6),$C98,0)</f>
        <v>9.5000001506647127</v>
      </c>
      <c r="M100" s="120">
        <f ca="1">[1]!ripe([1]!Olekuvorrand($C98,$T99,$Y99,$X99,$W99,M$4,[1]!juhe($T99,6),TRUE),[1]!juhe($T99,6),$C98,0)</f>
        <v>9.5166494013300778</v>
      </c>
      <c r="N100" s="120">
        <f ca="1">[1]!ripe([1]!Olekuvorrand($C98,$T99,$Y99,$X99,$W99,N$4,[1]!juhe($T99,6),TRUE),[1]!juhe($T99,6),$C98,0)</f>
        <v>9.5332986786183316</v>
      </c>
      <c r="O100" s="207"/>
      <c r="P100" s="136"/>
      <c r="Q100" s="142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8"/>
    </row>
    <row r="101" spans="1:29" s="114" customFormat="1" x14ac:dyDescent="0.2">
      <c r="A101" s="187"/>
      <c r="B101" s="188"/>
      <c r="C101" s="207"/>
      <c r="D101" s="118" t="s">
        <v>195</v>
      </c>
      <c r="E101" s="120">
        <f ca="1">[1]!ripe([1]!Olekuvorrand($C98,$T99,$Y99,$X99,$W99,E$4,[1]!juhe($T99,6)),[1]!juhe($T99,6),$C98,0)</f>
        <v>9.3832226572123556</v>
      </c>
      <c r="F101" s="120">
        <f ca="1">[1]!ripe([1]!Olekuvorrand($C98,$T99,$Y99,$X99,$W99,F$4,[1]!juhe($T99,6)),[1]!juhe($T99,6),$C98,0)</f>
        <v>9.3999273237888055</v>
      </c>
      <c r="G101" s="120">
        <f ca="1">[1]!ripe([1]!Olekuvorrand($C98,$T99,$Y99,$X99,$W99,G$4,[1]!juhe($T99,6)),[1]!juhe($T99,6),$C98,0)</f>
        <v>9.4166264177784242</v>
      </c>
      <c r="H101" s="120">
        <f ca="1">[1]!ripe([1]!Olekuvorrand($C98,$T99,$Y99,$X99,$W99,H$4,[1]!juhe($T99,6)),[1]!juhe($T99,6),$C98,0)</f>
        <v>9.4333113888063913</v>
      </c>
      <c r="I101" s="120">
        <f ca="1">[1]!ripe([1]!Olekuvorrand($C98,$T99,$Y99,$X99,$W99,I$4,[1]!juhe($T99,6)),[1]!juhe($T99,6),$C98,0)</f>
        <v>9.4499899729405339</v>
      </c>
      <c r="J101" s="120">
        <f ca="1">[1]!ripe([1]!Olekuvorrand($C98,$T99,$Y99,$X99,$W99,J$4,[1]!juhe($T99,6)),[1]!juhe($T99,6),$C98,0)</f>
        <v>9.466670019463221</v>
      </c>
      <c r="K101" s="120">
        <f ca="1">[1]!ripe([1]!Olekuvorrand($C98,$T99,$Y99,$X99,$W99,K$4,[1]!juhe($T99,6)),[1]!juhe($T99,6),$C98,0)</f>
        <v>9.4833347104360151</v>
      </c>
      <c r="L101" s="120">
        <f ca="1">[1]!ripe([1]!Olekuvorrand($C98,$T99,$Y99,$X99,$W99,L$4,[1]!juhe($T99,6)),[1]!juhe($T99,6),$C98,0)</f>
        <v>9.5000001506647127</v>
      </c>
      <c r="M101" s="120">
        <f ca="1">[1]!ripe([1]!Olekuvorrand($C98,$T99,$Y99,$X99,$W99,M$4,[1]!juhe($T99,6)),[1]!juhe($T99,6),$C98,0)</f>
        <v>9.5166494013300778</v>
      </c>
      <c r="N101" s="120">
        <f ca="1">[1]!ripe([1]!Olekuvorrand($C98,$T99,$Y99,$X99,$W99,N$4,[1]!juhe($T99,6)),[1]!juhe($T99,6),$C98,0)</f>
        <v>9.5332986786183316</v>
      </c>
      <c r="O101" s="207"/>
      <c r="P101" s="136"/>
      <c r="Q101" s="142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8"/>
      <c r="AC101" s="121"/>
    </row>
    <row r="102" spans="1:29" x14ac:dyDescent="0.2">
      <c r="A102" s="105"/>
      <c r="B102" s="113" t="str">
        <f ca="1">INDIRECT("Visangud!C" &amp; R102)</f>
        <v>151Y-152Y</v>
      </c>
      <c r="C102" s="106">
        <f ca="1">INDIRECT("Visangud!"&amp;Q102&amp;R102)</f>
        <v>247.1419107672823</v>
      </c>
      <c r="D102" s="10" t="s">
        <v>31</v>
      </c>
      <c r="E102" s="12">
        <f ca="1">[1]!ripe(E$98,[1]!juhe($T$7,6),$C102,0)</f>
        <v>3.4498275459568859</v>
      </c>
      <c r="F102" s="12">
        <f ca="1">[1]!ripe(F$98,[1]!juhe($T$7,6),$C102,0)</f>
        <v>3.4559691692569747</v>
      </c>
      <c r="G102" s="12">
        <f ca="1">[1]!ripe(G$98,[1]!juhe($T$7,6),$C102,0)</f>
        <v>3.4621087437445981</v>
      </c>
      <c r="H102" s="12">
        <f ca="1">[1]!ripe(H$98,[1]!juhe($T$7,6),$C102,0)</f>
        <v>3.4682431257963269</v>
      </c>
      <c r="I102" s="12">
        <f ca="1">[1]!ripe(I$98,[1]!juhe($T$7,6),$C102,0)</f>
        <v>3.474375159648182</v>
      </c>
      <c r="J102" s="12">
        <f ca="1">[1]!ripe(J$98,[1]!juhe($T$7,6),$C102,0)</f>
        <v>3.4805077311605483</v>
      </c>
      <c r="K102" s="12">
        <f ca="1">[1]!ripe(K$98,[1]!juhe($T$7,6),$C102,0)</f>
        <v>3.4866346570646902</v>
      </c>
      <c r="L102" s="12">
        <f ca="1">[1]!ripe(L$98,[1]!juhe($T$7,6),$C102,0)</f>
        <v>3.4927618584396107</v>
      </c>
      <c r="M102" s="12">
        <f ca="1">[1]!ripe(M$98,[1]!juhe($T$7,6),$C102,0)</f>
        <v>3.4988831075736453</v>
      </c>
      <c r="N102" s="12">
        <f ca="1">[1]!ripe(N$98,[1]!juhe($T$7,6),$C102,0)</f>
        <v>3.5050043664958288</v>
      </c>
      <c r="O102" s="124"/>
      <c r="Q102" s="139" t="s">
        <v>211</v>
      </c>
      <c r="R102" s="129">
        <v>63</v>
      </c>
      <c r="S102" s="129"/>
      <c r="T102" s="129"/>
      <c r="U102" s="129"/>
      <c r="V102" s="129"/>
      <c r="W102" s="129"/>
      <c r="X102" s="129"/>
      <c r="Y102" s="129"/>
      <c r="Z102" s="129"/>
      <c r="AC102" s="11"/>
    </row>
    <row r="103" spans="1:29" x14ac:dyDescent="0.2">
      <c r="A103" s="108"/>
      <c r="B103" s="113" t="str">
        <f t="shared" ref="B103:B104" ca="1" si="37">INDIRECT("Visangud!C" &amp; R103)</f>
        <v>152Y-153Y</v>
      </c>
      <c r="C103" s="106">
        <f t="shared" ref="C103:C104" ca="1" si="38">INDIRECT("Visangud!"&amp;Q103&amp;R103)</f>
        <v>420.36242601072905</v>
      </c>
      <c r="D103" s="10" t="s">
        <v>31</v>
      </c>
      <c r="E103" s="12">
        <f ca="1">[1]!ripe(E$98,[1]!juhe($T$7,6),$C103,0)</f>
        <v>9.9805015172173199</v>
      </c>
      <c r="F103" s="12">
        <f ca="1">[1]!ripe(F$98,[1]!juhe($T$7,6),$C103,0)</f>
        <v>9.9982695012246818</v>
      </c>
      <c r="G103" s="12">
        <f ca="1">[1]!ripe(G$98,[1]!juhe($T$7,6),$C103,0)</f>
        <v>10.016031557928242</v>
      </c>
      <c r="H103" s="12">
        <f ca="1">[1]!ripe(H$98,[1]!juhe($T$7,6),$C103,0)</f>
        <v>10.033778592688348</v>
      </c>
      <c r="I103" s="12">
        <f ca="1">[1]!ripe(I$98,[1]!juhe($T$7,6),$C103,0)</f>
        <v>10.051518834003829</v>
      </c>
      <c r="J103" s="12">
        <f ca="1">[1]!ripe(J$98,[1]!juhe($T$7,6),$C103,0)</f>
        <v>10.069260630794613</v>
      </c>
      <c r="K103" s="12">
        <f ca="1">[1]!ripe(K$98,[1]!juhe($T$7,6),$C103,0)</f>
        <v>10.086986094594632</v>
      </c>
      <c r="L103" s="12">
        <f ca="1">[1]!ripe(L$98,[1]!juhe($T$7,6),$C103,0)</f>
        <v>10.104712355343624</v>
      </c>
      <c r="M103" s="12">
        <f ca="1">[1]!ripe(M$98,[1]!juhe($T$7,6),$C103,0)</f>
        <v>10.122421396000194</v>
      </c>
      <c r="N103" s="12">
        <f ca="1">[1]!ripe(N$98,[1]!juhe($T$7,6),$C103,0)</f>
        <v>10.140130464974302</v>
      </c>
      <c r="O103" s="125"/>
      <c r="Q103" s="139" t="s">
        <v>211</v>
      </c>
      <c r="R103" s="129">
        <v>64</v>
      </c>
      <c r="S103" s="129"/>
      <c r="T103" s="129"/>
      <c r="U103" s="129"/>
      <c r="V103" s="129"/>
      <c r="W103" s="129"/>
      <c r="X103" s="129"/>
      <c r="Y103" s="129"/>
      <c r="Z103" s="129"/>
    </row>
    <row r="104" spans="1:29" x14ac:dyDescent="0.2">
      <c r="A104" s="108"/>
      <c r="B104" s="113" t="str">
        <f t="shared" ca="1" si="37"/>
        <v>153Y-154Y</v>
      </c>
      <c r="C104" s="106">
        <f t="shared" ca="1" si="38"/>
        <v>461.2772269470675</v>
      </c>
      <c r="D104" s="10" t="s">
        <v>31</v>
      </c>
      <c r="E104" s="12">
        <f ca="1">[1]!ripe(E$98,[1]!juhe($T$7,6),$C104,0)</f>
        <v>12.017900771672531</v>
      </c>
      <c r="F104" s="12">
        <f ca="1">[1]!ripe(F$98,[1]!juhe($T$7,6),$C104,0)</f>
        <v>12.039295875750694</v>
      </c>
      <c r="G104" s="12">
        <f ca="1">[1]!ripe(G$98,[1]!juhe($T$7,6),$C104,0)</f>
        <v>12.06068384253733</v>
      </c>
      <c r="H104" s="12">
        <f ca="1">[1]!ripe(H$98,[1]!juhe($T$7,6),$C104,0)</f>
        <v>12.082053720831567</v>
      </c>
      <c r="I104" s="12">
        <f ca="1">[1]!ripe(I$98,[1]!juhe($T$7,6),$C104,0)</f>
        <v>12.103415418881228</v>
      </c>
      <c r="J104" s="12">
        <f ca="1">[1]!ripe(J$98,[1]!juhe($T$7,6),$C104,0)</f>
        <v>12.124778989937752</v>
      </c>
      <c r="K104" s="12">
        <f ca="1">[1]!ripe(K$98,[1]!juhe($T$7,6),$C104,0)</f>
        <v>12.146122893820039</v>
      </c>
      <c r="L104" s="12">
        <f ca="1">[1]!ripe(L$98,[1]!juhe($T$7,6),$C104,0)</f>
        <v>12.167467757338839</v>
      </c>
      <c r="M104" s="12">
        <f ca="1">[1]!ripe(M$98,[1]!juhe($T$7,6),$C104,0)</f>
        <v>12.188791885490616</v>
      </c>
      <c r="N104" s="12">
        <f ca="1">[1]!ripe(N$98,[1]!juhe($T$7,6),$C104,0)</f>
        <v>12.21011604774062</v>
      </c>
      <c r="O104" s="125"/>
      <c r="Q104" s="139" t="s">
        <v>211</v>
      </c>
      <c r="R104" s="129">
        <v>65</v>
      </c>
      <c r="S104" s="129"/>
      <c r="T104" s="129"/>
      <c r="U104" s="129"/>
      <c r="V104" s="129"/>
      <c r="W104" s="129"/>
      <c r="X104" s="129"/>
      <c r="Y104" s="129"/>
      <c r="Z104" s="129"/>
    </row>
    <row r="105" spans="1:29" s="114" customFormat="1" hidden="1" x14ac:dyDescent="0.2">
      <c r="A105" s="187">
        <v>1</v>
      </c>
      <c r="B105" s="188" t="str">
        <f ca="1">R106</f>
        <v>154Y- 156Y</v>
      </c>
      <c r="C105" s="207">
        <f ca="1">S106</f>
        <v>360.03370480776539</v>
      </c>
      <c r="D105" s="118" t="s">
        <v>130</v>
      </c>
      <c r="E105" s="119">
        <f ca="1">[1]!Olekuvorrand($C105,$T106,$Y106,$X106,$W106,E$4,[1]!juhe($T106,6),TRUE)</f>
        <v>142.81493425369263</v>
      </c>
      <c r="F105" s="119">
        <f ca="1">[1]!Olekuvorrand($C105,$T106,$Y106,$X106,$W106,F$4,[1]!juhe($T106,6),TRUE)</f>
        <v>142.50165224075317</v>
      </c>
      <c r="G105" s="119">
        <f ca="1">[1]!Olekuvorrand($C105,$T106,$Y106,$X106,$W106,G$4,[1]!juhe($T106,6),TRUE)</f>
        <v>142.18991994857788</v>
      </c>
      <c r="H105" s="119">
        <f ca="1">[1]!Olekuvorrand($C105,$T106,$Y106,$X106,$W106,H$4,[1]!juhe($T106,6),TRUE)</f>
        <v>141.87949895858765</v>
      </c>
      <c r="I105" s="119">
        <f ca="1">[1]!Olekuvorrand($C105,$T106,$Y106,$X106,$W106,I$4,[1]!juhe($T106,6),TRUE)</f>
        <v>141.57038927078247</v>
      </c>
      <c r="J105" s="119">
        <f ca="1">[1]!Olekuvorrand($C105,$T106,$Y106,$X106,$W106,J$4,[1]!juhe($T106,6),TRUE)</f>
        <v>141.2627100944519</v>
      </c>
      <c r="K105" s="119">
        <f ca="1">[1]!Olekuvorrand($C105,$T106,$Y106,$X106,$W106,K$4,[1]!juhe($T106,6),TRUE)</f>
        <v>140.9563422203064</v>
      </c>
      <c r="L105" s="119">
        <f ca="1">[1]!Olekuvorrand($C105,$T106,$Y106,$X106,$W106,L$4,[1]!juhe($T106,6),TRUE)</f>
        <v>140.65128564834595</v>
      </c>
      <c r="M105" s="119">
        <f ca="1">[1]!Olekuvorrand($C105,$T106,$Y106,$X106,$W106,M$4,[1]!juhe($T106,6),TRUE)</f>
        <v>140.34765958786011</v>
      </c>
      <c r="N105" s="119">
        <f ca="1">[1]!Olekuvorrand($C105,$T106,$Y106,$X106,$W106,N$4,[1]!juhe($T106,6),TRUE)</f>
        <v>140.04534482955933</v>
      </c>
      <c r="O105" s="207">
        <f ca="1">U106</f>
        <v>141.2627100944519</v>
      </c>
      <c r="P105" s="136"/>
      <c r="Q105" s="142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8"/>
    </row>
    <row r="106" spans="1:29" s="114" customFormat="1" x14ac:dyDescent="0.2">
      <c r="A106" s="187"/>
      <c r="B106" s="188"/>
      <c r="C106" s="207"/>
      <c r="D106" s="118" t="s">
        <v>32</v>
      </c>
      <c r="E106" s="119">
        <f ca="1">E105*[1]!juhe($T106,2)/10</f>
        <v>1332.4633365869522</v>
      </c>
      <c r="F106" s="119">
        <f ca="1">F105*[1]!juhe($T106,2)/10</f>
        <v>1329.5404154062271</v>
      </c>
      <c r="G106" s="119">
        <f ca="1">G105*[1]!juhe($T106,2)/10</f>
        <v>1326.6319531202316</v>
      </c>
      <c r="H106" s="119">
        <f ca="1">H105*[1]!juhe($T106,2)/10</f>
        <v>1323.7357252836227</v>
      </c>
      <c r="I106" s="119">
        <f ca="1">I105*[1]!juhe($T106,2)/10</f>
        <v>1320.8517318964005</v>
      </c>
      <c r="J106" s="119">
        <f ca="1">J105*[1]!juhe($T106,2)/10</f>
        <v>1317.9810851812363</v>
      </c>
      <c r="K106" s="119">
        <f ca="1">K105*[1]!juhe($T106,2)/10</f>
        <v>1315.1226729154587</v>
      </c>
      <c r="L106" s="119">
        <f ca="1">L105*[1]!juhe($T106,2)/10</f>
        <v>1312.2764950990677</v>
      </c>
      <c r="M106" s="119">
        <f ca="1">M105*[1]!juhe($T106,2)/10</f>
        <v>1309.4436639547348</v>
      </c>
      <c r="N106" s="119">
        <f ca="1">N105*[1]!juhe($T106,2)/10</f>
        <v>1306.6230672597885</v>
      </c>
      <c r="O106" s="207"/>
      <c r="P106" s="136"/>
      <c r="Q106" s="142" t="s">
        <v>212</v>
      </c>
      <c r="R106" s="129" t="str">
        <f t="shared" ref="R106:Y106" ca="1" si="39">INDIRECT("'"&amp;$S$1&amp;"'!"&amp;$Q106&amp;R$4)</f>
        <v>154Y- 156Y</v>
      </c>
      <c r="S106" s="129">
        <f t="shared" ca="1" si="39"/>
        <v>360.03370480776539</v>
      </c>
      <c r="T106" s="129" t="str">
        <f t="shared" ca="1" si="39"/>
        <v>OPGW-2S 2/48B1 (0/93-55.3)</v>
      </c>
      <c r="U106" s="129">
        <f t="shared" ca="1" si="39"/>
        <v>141.2627100944519</v>
      </c>
      <c r="V106" s="129">
        <f t="shared" ca="1" si="39"/>
        <v>5</v>
      </c>
      <c r="W106" s="129">
        <f t="shared" ca="1" si="39"/>
        <v>0.22445551938209296</v>
      </c>
      <c r="X106" s="129">
        <f t="shared" ca="1" si="39"/>
        <v>-5</v>
      </c>
      <c r="Y106" s="129">
        <f t="shared" ca="1" si="39"/>
        <v>334.54734086990356</v>
      </c>
      <c r="Z106" s="129">
        <v>1</v>
      </c>
      <c r="AA106" s="128"/>
    </row>
    <row r="107" spans="1:29" s="114" customFormat="1" x14ac:dyDescent="0.2">
      <c r="A107" s="187"/>
      <c r="B107" s="188"/>
      <c r="C107" s="207"/>
      <c r="D107" s="118" t="s">
        <v>31</v>
      </c>
      <c r="E107" s="120">
        <f ca="1">[1]!ripe([1]!Olekuvorrand($C105,$T106,$Y106,$X106,$W106,E$4,[1]!juhe($T106,6),TRUE),[1]!juhe($T106,6),$C105,0)</f>
        <v>7.0909222744161715</v>
      </c>
      <c r="F107" s="120">
        <f ca="1">[1]!ripe([1]!Olekuvorrand($C105,$T106,$Y106,$X106,$W106,F$4,[1]!juhe($T106,6),TRUE),[1]!juhe($T106,6),$C105,0)</f>
        <v>7.1065112754473541</v>
      </c>
      <c r="G107" s="120">
        <f ca="1">[1]!ripe([1]!Olekuvorrand($C105,$T106,$Y106,$X106,$W106,G$4,[1]!juhe($T106,6),TRUE),[1]!juhe($T106,6),$C105,0)</f>
        <v>7.1220913464542575</v>
      </c>
      <c r="H107" s="120">
        <f ca="1">[1]!ripe([1]!Olekuvorrand($C105,$T106,$Y106,$X106,$W106,H$4,[1]!juhe($T106,6),TRUE),[1]!juhe($T106,6),$C105,0)</f>
        <v>7.1376739123837618</v>
      </c>
      <c r="I107" s="120">
        <f ca="1">[1]!ripe([1]!Olekuvorrand($C105,$T106,$Y106,$X106,$W106,I$4,[1]!juhe($T106,6),TRUE),[1]!juhe($T106,6),$C105,0)</f>
        <v>7.1532585566450138</v>
      </c>
      <c r="J107" s="120">
        <f ca="1">[1]!ripe([1]!Olekuvorrand($C105,$T106,$Y106,$X106,$W106,J$4,[1]!juhe($T106,6),TRUE),[1]!juhe($T106,6),$C105,0)</f>
        <v>7.1688388092064761</v>
      </c>
      <c r="K107" s="120">
        <f ca="1">[1]!ripe([1]!Olekuvorrand($C105,$T106,$Y106,$X106,$W106,K$4,[1]!juhe($T106,6),TRUE),[1]!juhe($T106,6),$C105,0)</f>
        <v>7.1844202429431405</v>
      </c>
      <c r="L107" s="120">
        <f ca="1">[1]!ripe([1]!Olekuvorrand($C105,$T106,$Y106,$X106,$W106,L$4,[1]!juhe($T106,6),TRUE),[1]!juhe($T106,6),$C105,0)</f>
        <v>7.2000024297730221</v>
      </c>
      <c r="M107" s="120">
        <f ca="1">[1]!ripe([1]!Olekuvorrand($C105,$T106,$Y106,$X106,$W106,M$4,[1]!juhe($T106,6),TRUE),[1]!juhe($T106,6),$C105,0)</f>
        <v>7.2155788090276536</v>
      </c>
      <c r="N107" s="120">
        <f ca="1">[1]!ripe([1]!Olekuvorrand($C105,$T106,$Y106,$X106,$W106,N$4,[1]!juhe($T106,6),TRUE),[1]!juhe($T106,6),$C105,0)</f>
        <v>7.2311550209060727</v>
      </c>
      <c r="O107" s="207"/>
      <c r="P107" s="136"/>
      <c r="Q107" s="142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8"/>
    </row>
    <row r="108" spans="1:29" s="114" customFormat="1" x14ac:dyDescent="0.2">
      <c r="A108" s="187"/>
      <c r="B108" s="188"/>
      <c r="C108" s="207"/>
      <c r="D108" s="118" t="s">
        <v>195</v>
      </c>
      <c r="E108" s="120">
        <f ca="1">[1]!ripe([1]!Olekuvorrand($C105,$T106,$Y106,$X106,$W106,E$4,[1]!juhe($T106,6)),[1]!juhe($T106,6),$C105,0)</f>
        <v>7.0909222744161715</v>
      </c>
      <c r="F108" s="120">
        <f ca="1">[1]!ripe([1]!Olekuvorrand($C105,$T106,$Y106,$X106,$W106,F$4,[1]!juhe($T106,6)),[1]!juhe($T106,6),$C105,0)</f>
        <v>7.1065112754473541</v>
      </c>
      <c r="G108" s="120">
        <f ca="1">[1]!ripe([1]!Olekuvorrand($C105,$T106,$Y106,$X106,$W106,G$4,[1]!juhe($T106,6)),[1]!juhe($T106,6),$C105,0)</f>
        <v>7.1220913464542575</v>
      </c>
      <c r="H108" s="120">
        <f ca="1">[1]!ripe([1]!Olekuvorrand($C105,$T106,$Y106,$X106,$W106,H$4,[1]!juhe($T106,6)),[1]!juhe($T106,6),$C105,0)</f>
        <v>7.1376739123837618</v>
      </c>
      <c r="I108" s="120">
        <f ca="1">[1]!ripe([1]!Olekuvorrand($C105,$T106,$Y106,$X106,$W106,I$4,[1]!juhe($T106,6)),[1]!juhe($T106,6),$C105,0)</f>
        <v>7.1532585566450138</v>
      </c>
      <c r="J108" s="120">
        <f ca="1">[1]!ripe([1]!Olekuvorrand($C105,$T106,$Y106,$X106,$W106,J$4,[1]!juhe($T106,6)),[1]!juhe($T106,6),$C105,0)</f>
        <v>7.1688388092064761</v>
      </c>
      <c r="K108" s="120">
        <f ca="1">[1]!ripe([1]!Olekuvorrand($C105,$T106,$Y106,$X106,$W106,K$4,[1]!juhe($T106,6)),[1]!juhe($T106,6),$C105,0)</f>
        <v>7.1844202429431405</v>
      </c>
      <c r="L108" s="120">
        <f ca="1">[1]!ripe([1]!Olekuvorrand($C105,$T106,$Y106,$X106,$W106,L$4,[1]!juhe($T106,6)),[1]!juhe($T106,6),$C105,0)</f>
        <v>7.2000024297730221</v>
      </c>
      <c r="M108" s="120">
        <f ca="1">[1]!ripe([1]!Olekuvorrand($C105,$T106,$Y106,$X106,$W106,M$4,[1]!juhe($T106,6)),[1]!juhe($T106,6),$C105,0)</f>
        <v>7.2155788090276536</v>
      </c>
      <c r="N108" s="120">
        <f ca="1">[1]!ripe([1]!Olekuvorrand($C105,$T106,$Y106,$X106,$W106,N$4,[1]!juhe($T106,6)),[1]!juhe($T106,6),$C105,0)</f>
        <v>7.2311550209060727</v>
      </c>
      <c r="O108" s="207"/>
      <c r="P108" s="136"/>
      <c r="Q108" s="142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8"/>
      <c r="AC108" s="121"/>
    </row>
    <row r="109" spans="1:29" x14ac:dyDescent="0.2">
      <c r="A109" s="105"/>
      <c r="B109" s="113" t="str">
        <f ca="1">INDIRECT("Visangud!C" &amp; R109)</f>
        <v>154Y-155Y</v>
      </c>
      <c r="C109" s="106">
        <f ca="1">INDIRECT("Visangud!"&amp;Q109&amp;R109)</f>
        <v>368.2816644906481</v>
      </c>
      <c r="D109" s="10" t="s">
        <v>31</v>
      </c>
      <c r="E109" s="12">
        <f ca="1">[1]!ripe(E$105,[1]!juhe($T$7,6),$C109,0)</f>
        <v>7.4195335114095062</v>
      </c>
      <c r="F109" s="12">
        <f ca="1">[1]!ripe(F$105,[1]!juhe($T$7,6),$C109,0)</f>
        <v>7.4358449460979905</v>
      </c>
      <c r="G109" s="12">
        <f ca="1">[1]!ripe(G$105,[1]!juhe($T$7,6),$C109,0)</f>
        <v>7.4521470369223293</v>
      </c>
      <c r="H109" s="12">
        <f ca="1">[1]!ripe(H$105,[1]!juhe($T$7,6),$C109,0)</f>
        <v>7.4684517382902795</v>
      </c>
      <c r="I109" s="12">
        <f ca="1">[1]!ripe(I$105,[1]!juhe($T$7,6),$C109,0)</f>
        <v>7.4847586143051172</v>
      </c>
      <c r="J109" s="12">
        <f ca="1">[1]!ripe(J$105,[1]!juhe($T$7,6),$C109,0)</f>
        <v>7.5010608950977105</v>
      </c>
      <c r="K109" s="12">
        <f ca="1">[1]!ripe(K$105,[1]!juhe($T$7,6),$C109,0)</f>
        <v>7.5173644118041478</v>
      </c>
      <c r="L109" s="12">
        <f ca="1">[1]!ripe(L$105,[1]!juhe($T$7,6),$C109,0)</f>
        <v>7.5336687165040424</v>
      </c>
      <c r="M109" s="12">
        <f ca="1">[1]!ripe(M$105,[1]!juhe($T$7,6),$C109,0)</f>
        <v>7.5499669444909907</v>
      </c>
      <c r="N109" s="12">
        <f ca="1">[1]!ripe(N$105,[1]!juhe($T$7,6),$C109,0)</f>
        <v>7.5662649973450895</v>
      </c>
      <c r="O109" s="124"/>
      <c r="Q109" s="139" t="s">
        <v>212</v>
      </c>
      <c r="R109" s="129">
        <v>66</v>
      </c>
      <c r="S109" s="129"/>
      <c r="T109" s="129"/>
      <c r="U109" s="129"/>
      <c r="V109" s="129"/>
      <c r="W109" s="129"/>
      <c r="X109" s="129"/>
      <c r="Y109" s="129"/>
      <c r="Z109" s="129"/>
      <c r="AC109" s="11"/>
    </row>
    <row r="110" spans="1:29" x14ac:dyDescent="0.2">
      <c r="A110" s="108"/>
      <c r="B110" s="113" t="str">
        <f t="shared" ref="B110" ca="1" si="40">INDIRECT("Visangud!C" &amp; R110)</f>
        <v>155Y-156Y</v>
      </c>
      <c r="C110" s="106">
        <f t="shared" ref="C110" ca="1" si="41">INDIRECT("Visangud!"&amp;Q110&amp;R110)</f>
        <v>351.17594920461329</v>
      </c>
      <c r="D110" s="10" t="s">
        <v>31</v>
      </c>
      <c r="E110" s="12">
        <f ca="1">[1]!ripe(E$105,[1]!juhe($T$7,6),$C110,0)</f>
        <v>6.7463044450792253</v>
      </c>
      <c r="F110" s="12">
        <f ca="1">[1]!ripe(F$105,[1]!juhe($T$7,6),$C110,0)</f>
        <v>6.7611358228437872</v>
      </c>
      <c r="G110" s="12">
        <f ca="1">[1]!ripe(G$105,[1]!juhe($T$7,6),$C110,0)</f>
        <v>6.7759587045819991</v>
      </c>
      <c r="H110" s="12">
        <f ca="1">[1]!ripe(H$105,[1]!juhe($T$7,6),$C110,0)</f>
        <v>6.7907839599899225</v>
      </c>
      <c r="I110" s="12">
        <f ca="1">[1]!ripe(I$105,[1]!juhe($T$7,6),$C110,0)</f>
        <v>6.8056111927229619</v>
      </c>
      <c r="J110" s="12">
        <f ca="1">[1]!ripe(J$105,[1]!juhe($T$7,6),$C110,0)</f>
        <v>6.8204342471922059</v>
      </c>
      <c r="K110" s="12">
        <f ca="1">[1]!ripe(K$105,[1]!juhe($T$7,6),$C110,0)</f>
        <v>6.8352584254317037</v>
      </c>
      <c r="L110" s="12">
        <f ca="1">[1]!ripe(L$105,[1]!juhe($T$7,6),$C110,0)</f>
        <v>6.8500833201641926</v>
      </c>
      <c r="M110" s="12">
        <f ca="1">[1]!ripe(M$105,[1]!juhe($T$7,6),$C110,0)</f>
        <v>6.8649026895687761</v>
      </c>
      <c r="N110" s="12">
        <f ca="1">[1]!ripe(N$105,[1]!juhe($T$7,6),$C110,0)</f>
        <v>6.8797218997316074</v>
      </c>
      <c r="O110" s="125"/>
      <c r="Q110" s="139" t="s">
        <v>212</v>
      </c>
      <c r="R110" s="129">
        <v>67</v>
      </c>
      <c r="S110" s="129"/>
      <c r="T110" s="129"/>
      <c r="U110" s="129"/>
      <c r="V110" s="129"/>
      <c r="W110" s="129"/>
      <c r="X110" s="129"/>
      <c r="Y110" s="129"/>
      <c r="Z110" s="129"/>
    </row>
    <row r="111" spans="1:29" s="114" customFormat="1" hidden="1" x14ac:dyDescent="0.2">
      <c r="A111" s="187">
        <v>1</v>
      </c>
      <c r="B111" s="188" t="str">
        <f ca="1">R112</f>
        <v>156Y- 164Y</v>
      </c>
      <c r="C111" s="207">
        <f ca="1">S112</f>
        <v>372.01845882629567</v>
      </c>
      <c r="D111" s="118" t="s">
        <v>130</v>
      </c>
      <c r="E111" s="119">
        <f ca="1">[1]!Olekuvorrand($C111,$T112,$Y112,$X112,$W112,E$4,[1]!juhe($T112,6),TRUE)</f>
        <v>142.48055219650269</v>
      </c>
      <c r="F111" s="119">
        <f ca="1">[1]!Olekuvorrand($C111,$T112,$Y112,$X112,$W112,F$4,[1]!juhe($T112,6),TRUE)</f>
        <v>142.18240976333618</v>
      </c>
      <c r="G111" s="119">
        <f ca="1">[1]!Olekuvorrand($C111,$T112,$Y112,$X112,$W112,G$4,[1]!juhe($T112,6),TRUE)</f>
        <v>141.88545942306519</v>
      </c>
      <c r="H111" s="119">
        <f ca="1">[1]!Olekuvorrand($C111,$T112,$Y112,$X112,$W112,H$4,[1]!juhe($T112,6),TRUE)</f>
        <v>141.58982038497925</v>
      </c>
      <c r="I111" s="119">
        <f ca="1">[1]!Olekuvorrand($C111,$T112,$Y112,$X112,$W112,I$4,[1]!juhe($T112,6),TRUE)</f>
        <v>141.29537343978882</v>
      </c>
      <c r="J111" s="119">
        <f ca="1">[1]!Olekuvorrand($C111,$T112,$Y112,$X112,$W112,J$4,[1]!juhe($T112,6),TRUE)</f>
        <v>141.00223779678345</v>
      </c>
      <c r="K111" s="119">
        <f ca="1">[1]!Olekuvorrand($C111,$T112,$Y112,$X112,$W112,K$4,[1]!juhe($T112,6),TRUE)</f>
        <v>140.71041345596313</v>
      </c>
      <c r="L111" s="119">
        <f ca="1">[1]!Olekuvorrand($C111,$T112,$Y112,$X112,$W112,L$4,[1]!juhe($T112,6),TRUE)</f>
        <v>140.41978120803833</v>
      </c>
      <c r="M111" s="119">
        <f ca="1">[1]!Olekuvorrand($C111,$T112,$Y112,$X112,$W112,M$4,[1]!juhe($T112,6),TRUE)</f>
        <v>140.13046026229858</v>
      </c>
      <c r="N111" s="119">
        <f ca="1">[1]!Olekuvorrand($C111,$T112,$Y112,$X112,$W112,N$4,[1]!juhe($T112,6),TRUE)</f>
        <v>139.84233140945435</v>
      </c>
      <c r="O111" s="207">
        <f ca="1">U112</f>
        <v>141.00223779678345</v>
      </c>
      <c r="P111" s="136"/>
      <c r="Q111" s="142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8"/>
    </row>
    <row r="112" spans="1:29" s="114" customFormat="1" x14ac:dyDescent="0.2">
      <c r="A112" s="187"/>
      <c r="B112" s="188"/>
      <c r="C112" s="207"/>
      <c r="D112" s="118" t="s">
        <v>32</v>
      </c>
      <c r="E112" s="119">
        <f ca="1">E111*[1]!juhe($T112,2)/10</f>
        <v>1329.3435519933701</v>
      </c>
      <c r="F112" s="119">
        <f ca="1">F111*[1]!juhe($T112,2)/10</f>
        <v>1326.5618830919266</v>
      </c>
      <c r="G112" s="119">
        <f ca="1">G111*[1]!juhe($T112,2)/10</f>
        <v>1323.7913364171982</v>
      </c>
      <c r="H112" s="119">
        <f ca="1">H111*[1]!juhe($T112,2)/10</f>
        <v>1321.0330241918564</v>
      </c>
      <c r="I112" s="119">
        <f ca="1">I111*[1]!juhe($T112,2)/10</f>
        <v>1318.2858341932297</v>
      </c>
      <c r="J112" s="119">
        <f ca="1">J111*[1]!juhe($T112,2)/10</f>
        <v>1315.5508786439896</v>
      </c>
      <c r="K112" s="119">
        <f ca="1">K111*[1]!juhe($T112,2)/10</f>
        <v>1312.828157544136</v>
      </c>
      <c r="L112" s="119">
        <f ca="1">L111*[1]!juhe($T112,2)/10</f>
        <v>1310.1165586709976</v>
      </c>
      <c r="M112" s="119">
        <f ca="1">M111*[1]!juhe($T112,2)/10</f>
        <v>1307.4171942472458</v>
      </c>
      <c r="N112" s="119">
        <f ca="1">N111*[1]!juhe($T112,2)/10</f>
        <v>1304.728952050209</v>
      </c>
      <c r="O112" s="207"/>
      <c r="P112" s="136"/>
      <c r="Q112" s="142" t="s">
        <v>213</v>
      </c>
      <c r="R112" s="129" t="str">
        <f t="shared" ref="R112:Y112" ca="1" si="42">INDIRECT("'"&amp;$S$1&amp;"'!"&amp;$Q112&amp;R$4)</f>
        <v>156Y- 164Y</v>
      </c>
      <c r="S112" s="129">
        <f t="shared" ca="1" si="42"/>
        <v>372.01845882629567</v>
      </c>
      <c r="T112" s="129" t="str">
        <f t="shared" ca="1" si="42"/>
        <v>OPGW-2S 2/48B1 (0/93-55.3)</v>
      </c>
      <c r="U112" s="129">
        <f t="shared" ca="1" si="42"/>
        <v>141.00223779678345</v>
      </c>
      <c r="V112" s="129">
        <f t="shared" ca="1" si="42"/>
        <v>5</v>
      </c>
      <c r="W112" s="129">
        <f t="shared" ca="1" si="42"/>
        <v>0.224118449977669</v>
      </c>
      <c r="X112" s="129">
        <f t="shared" ca="1" si="42"/>
        <v>-5</v>
      </c>
      <c r="Y112" s="129">
        <f t="shared" ca="1" si="42"/>
        <v>338.07998895645142</v>
      </c>
      <c r="Z112" s="129">
        <v>1</v>
      </c>
      <c r="AA112" s="128"/>
    </row>
    <row r="113" spans="1:29" s="114" customFormat="1" x14ac:dyDescent="0.2">
      <c r="A113" s="187"/>
      <c r="B113" s="188"/>
      <c r="C113" s="207"/>
      <c r="D113" s="118" t="s">
        <v>31</v>
      </c>
      <c r="E113" s="120">
        <f ca="1">[1]!ripe([1]!Olekuvorrand($C111,$T112,$Y112,$X112,$W112,E$4,[1]!juhe($T112,6),TRUE),[1]!juhe($T112,6),$C111,0)</f>
        <v>7.5886307143068681</v>
      </c>
      <c r="F113" s="120">
        <f ca="1">[1]!ripe([1]!Olekuvorrand($C111,$T112,$Y112,$X112,$W112,F$4,[1]!juhe($T112,6),TRUE),[1]!juhe($T112,6),$C111,0)</f>
        <v>7.6045433214242424</v>
      </c>
      <c r="G113" s="120">
        <f ca="1">[1]!ripe([1]!Olekuvorrand($C111,$T112,$Y112,$X112,$W112,G$4,[1]!juhe($T112,6),TRUE),[1]!juhe($T112,6),$C111,0)</f>
        <v>7.6204587770042895</v>
      </c>
      <c r="H113" s="120">
        <f ca="1">[1]!ripe([1]!Olekuvorrand($C111,$T112,$Y112,$X112,$W112,H$4,[1]!juhe($T112,6),TRUE),[1]!juhe($T112,6),$C111,0)</f>
        <v>7.6363702676501672</v>
      </c>
      <c r="I113" s="120">
        <f ca="1">[1]!ripe([1]!Olekuvorrand($C111,$T112,$Y112,$X112,$W112,I$4,[1]!juhe($T112,6),TRUE),[1]!juhe($T112,6),$C111,0)</f>
        <v>7.6522837816097082</v>
      </c>
      <c r="J113" s="120">
        <f ca="1">[1]!ripe([1]!Olekuvorrand($C111,$T112,$Y112,$X112,$W112,J$4,[1]!juhe($T112,6),TRUE),[1]!juhe($T112,6),$C111,0)</f>
        <v>7.668192444917695</v>
      </c>
      <c r="K113" s="120">
        <f ca="1">[1]!ripe([1]!Olekuvorrand($C111,$T112,$Y112,$X112,$W112,K$4,[1]!juhe($T112,6),TRUE),[1]!juhe($T112,6),$C111,0)</f>
        <v>7.6840957824927907</v>
      </c>
      <c r="L113" s="120">
        <f ca="1">[1]!ripe([1]!Olekuvorrand($C111,$T112,$Y112,$X112,$W112,L$4,[1]!juhe($T112,6),TRUE),[1]!juhe($T112,6),$C111,0)</f>
        <v>7.6999998524986166</v>
      </c>
      <c r="M113" s="120">
        <f ca="1">[1]!ripe([1]!Olekuvorrand($C111,$T112,$Y112,$X112,$W112,M$4,[1]!juhe($T112,6),TRUE),[1]!juhe($T112,6),$C111,0)</f>
        <v>7.7158976896665727</v>
      </c>
      <c r="N113" s="120">
        <f ca="1">[1]!ripe([1]!Olekuvorrand($C111,$T112,$Y112,$X112,$W112,N$4,[1]!juhe($T112,6),TRUE),[1]!juhe($T112,6),$C111,0)</f>
        <v>7.7317953990910366</v>
      </c>
      <c r="O113" s="207"/>
      <c r="P113" s="136"/>
      <c r="Q113" s="142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8"/>
    </row>
    <row r="114" spans="1:29" s="114" customFormat="1" x14ac:dyDescent="0.2">
      <c r="A114" s="187"/>
      <c r="B114" s="188"/>
      <c r="C114" s="207"/>
      <c r="D114" s="118" t="s">
        <v>195</v>
      </c>
      <c r="E114" s="120">
        <f ca="1">[1]!ripe([1]!Olekuvorrand($C111,$T112,$Y112,$X112,$W112,E$4,[1]!juhe($T112,6)),[1]!juhe($T112,6),$C111,0)</f>
        <v>7.5886307143068681</v>
      </c>
      <c r="F114" s="120">
        <f ca="1">[1]!ripe([1]!Olekuvorrand($C111,$T112,$Y112,$X112,$W112,F$4,[1]!juhe($T112,6)),[1]!juhe($T112,6),$C111,0)</f>
        <v>7.6045433214242424</v>
      </c>
      <c r="G114" s="120">
        <f ca="1">[1]!ripe([1]!Olekuvorrand($C111,$T112,$Y112,$X112,$W112,G$4,[1]!juhe($T112,6)),[1]!juhe($T112,6),$C111,0)</f>
        <v>7.6204587770042895</v>
      </c>
      <c r="H114" s="120">
        <f ca="1">[1]!ripe([1]!Olekuvorrand($C111,$T112,$Y112,$X112,$W112,H$4,[1]!juhe($T112,6)),[1]!juhe($T112,6),$C111,0)</f>
        <v>7.6363702676501672</v>
      </c>
      <c r="I114" s="120">
        <f ca="1">[1]!ripe([1]!Olekuvorrand($C111,$T112,$Y112,$X112,$W112,I$4,[1]!juhe($T112,6)),[1]!juhe($T112,6),$C111,0)</f>
        <v>7.6522837816097082</v>
      </c>
      <c r="J114" s="120">
        <f ca="1">[1]!ripe([1]!Olekuvorrand($C111,$T112,$Y112,$X112,$W112,J$4,[1]!juhe($T112,6)),[1]!juhe($T112,6),$C111,0)</f>
        <v>7.668192444917695</v>
      </c>
      <c r="K114" s="120">
        <f ca="1">[1]!ripe([1]!Olekuvorrand($C111,$T112,$Y112,$X112,$W112,K$4,[1]!juhe($T112,6)),[1]!juhe($T112,6),$C111,0)</f>
        <v>7.6840957824927907</v>
      </c>
      <c r="L114" s="120">
        <f ca="1">[1]!ripe([1]!Olekuvorrand($C111,$T112,$Y112,$X112,$W112,L$4,[1]!juhe($T112,6)),[1]!juhe($T112,6),$C111,0)</f>
        <v>7.6999998524986166</v>
      </c>
      <c r="M114" s="120">
        <f ca="1">[1]!ripe([1]!Olekuvorrand($C111,$T112,$Y112,$X112,$W112,M$4,[1]!juhe($T112,6)),[1]!juhe($T112,6),$C111,0)</f>
        <v>7.7158976896665727</v>
      </c>
      <c r="N114" s="120">
        <f ca="1">[1]!ripe([1]!Olekuvorrand($C111,$T112,$Y112,$X112,$W112,N$4,[1]!juhe($T112,6)),[1]!juhe($T112,6),$C111,0)</f>
        <v>7.7317953990910366</v>
      </c>
      <c r="O114" s="207"/>
      <c r="P114" s="136"/>
      <c r="Q114" s="142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8"/>
      <c r="AC114" s="121"/>
    </row>
    <row r="115" spans="1:29" x14ac:dyDescent="0.2">
      <c r="A115" s="105"/>
      <c r="B115" s="113" t="str">
        <f ca="1">INDIRECT("Visangud!C" &amp; R115)</f>
        <v>156Y-157Y</v>
      </c>
      <c r="C115" s="106">
        <f ca="1">INDIRECT("Visangud!"&amp;Q115&amp;R115)</f>
        <v>433.08823546734413</v>
      </c>
      <c r="D115" s="10" t="s">
        <v>31</v>
      </c>
      <c r="E115" s="12">
        <f ca="1">[1]!ripe(E$111,[1]!juhe($T$7,6),$C115,0)</f>
        <v>10.284595468067813</v>
      </c>
      <c r="F115" s="12">
        <f ca="1">[1]!ripe(F$111,[1]!juhe($T$7,6),$C115,0)</f>
        <v>10.306161246296545</v>
      </c>
      <c r="G115" s="12">
        <f ca="1">[1]!ripe(G$111,[1]!juhe($T$7,6),$C115,0)</f>
        <v>10.327730884943238</v>
      </c>
      <c r="H115" s="12">
        <f ca="1">[1]!ripe(H$111,[1]!juhe($T$7,6),$C115,0)</f>
        <v>10.349295150058719</v>
      </c>
      <c r="I115" s="12">
        <f ca="1">[1]!ripe(I$111,[1]!juhe($T$7,6),$C115,0)</f>
        <v>10.37086215729769</v>
      </c>
      <c r="J115" s="12">
        <f ca="1">[1]!ripe(J$111,[1]!juhe($T$7,6),$C115,0)</f>
        <v>10.392422590624861</v>
      </c>
      <c r="K115" s="12">
        <f ca="1">[1]!ripe(K$111,[1]!juhe($T$7,6),$C115,0)</f>
        <v>10.41397580617976</v>
      </c>
      <c r="L115" s="12">
        <f ca="1">[1]!ripe(L$111,[1]!juhe($T$7,6),$C115,0)</f>
        <v>10.435530014371414</v>
      </c>
      <c r="M115" s="12">
        <f ca="1">[1]!ripe(M$111,[1]!juhe($T$7,6),$C115,0)</f>
        <v>10.457075775424379</v>
      </c>
      <c r="N115" s="12">
        <f ca="1">[1]!ripe(N$111,[1]!juhe($T$7,6),$C115,0)</f>
        <v>10.47862136335123</v>
      </c>
      <c r="O115" s="124"/>
      <c r="Q115" s="139" t="s">
        <v>213</v>
      </c>
      <c r="R115" s="129">
        <v>68</v>
      </c>
      <c r="S115" s="129"/>
      <c r="T115" s="129"/>
      <c r="U115" s="129"/>
      <c r="V115" s="129"/>
      <c r="W115" s="129"/>
      <c r="X115" s="129"/>
      <c r="Y115" s="129"/>
      <c r="Z115" s="129"/>
      <c r="AC115" s="11"/>
    </row>
    <row r="116" spans="1:29" x14ac:dyDescent="0.2">
      <c r="A116" s="153"/>
      <c r="B116" s="113" t="str">
        <f t="shared" ref="B116" ca="1" si="43">INDIRECT("Visangud!C" &amp; R116)</f>
        <v>157Y-158Y</v>
      </c>
      <c r="C116" s="106">
        <f t="shared" ref="C116" ca="1" si="44">INDIRECT("Visangud!"&amp;Q116&amp;R116)</f>
        <v>258.13248245795143</v>
      </c>
      <c r="D116" s="10" t="s">
        <v>31</v>
      </c>
      <c r="E116" s="12">
        <f ca="1">[1]!ripe(E$111,[1]!juhe($T$7,6),$C116,0)</f>
        <v>3.6535895531382034</v>
      </c>
      <c r="F116" s="12">
        <f ca="1">[1]!ripe(F$111,[1]!juhe($T$7,6),$C116,0)</f>
        <v>3.6612507686217324</v>
      </c>
      <c r="G116" s="12">
        <f ca="1">[1]!ripe(G$111,[1]!juhe($T$7,6),$C116,0)</f>
        <v>3.6689133555138671</v>
      </c>
      <c r="H116" s="12">
        <f ca="1">[1]!ripe(H$111,[1]!juhe($T$7,6),$C116,0)</f>
        <v>3.6765740334658239</v>
      </c>
      <c r="I116" s="12">
        <f ca="1">[1]!ripe(I$111,[1]!juhe($T$7,6),$C116,0)</f>
        <v>3.6842356855536882</v>
      </c>
      <c r="J116" s="12">
        <f ca="1">[1]!ripe(J$111,[1]!juhe($T$7,6),$C116,0)</f>
        <v>3.6918950022676866</v>
      </c>
      <c r="K116" s="12">
        <f ca="1">[1]!ripe(K$111,[1]!juhe($T$7,6),$C116,0)</f>
        <v>3.6995517548771994</v>
      </c>
      <c r="L116" s="12">
        <f ca="1">[1]!ripe(L$111,[1]!juhe($T$7,6),$C116,0)</f>
        <v>3.7072088601196662</v>
      </c>
      <c r="M116" s="12">
        <f ca="1">[1]!ripe(M$111,[1]!juhe($T$7,6),$C116,0)</f>
        <v>3.7148629645267803</v>
      </c>
      <c r="N116" s="12">
        <f ca="1">[1]!ripe(N$111,[1]!juhe($T$7,6),$C116,0)</f>
        <v>3.7225170074310614</v>
      </c>
      <c r="O116" s="124"/>
      <c r="Q116" s="139" t="s">
        <v>213</v>
      </c>
      <c r="R116" s="129">
        <v>69</v>
      </c>
      <c r="S116" s="129"/>
      <c r="T116" s="129"/>
      <c r="U116" s="129"/>
      <c r="V116" s="129"/>
      <c r="W116" s="129"/>
      <c r="X116" s="129"/>
      <c r="Y116" s="129"/>
      <c r="Z116" s="129"/>
      <c r="AC116" s="11"/>
    </row>
    <row r="117" spans="1:29" x14ac:dyDescent="0.2">
      <c r="A117" s="153"/>
      <c r="B117" s="113" t="str">
        <f t="shared" ref="B117:B122" ca="1" si="45">INDIRECT("Visangud!C" &amp; R117)</f>
        <v>158Y-159Y</v>
      </c>
      <c r="C117" s="106">
        <f t="shared" ref="C117:C122" ca="1" si="46">INDIRECT("Visangud!"&amp;Q117&amp;R117)</f>
        <v>349.83137152091001</v>
      </c>
      <c r="D117" s="10" t="s">
        <v>31</v>
      </c>
      <c r="E117" s="12">
        <f ca="1">[1]!ripe(E$111,[1]!juhe($T$7,6),$C117,0)</f>
        <v>6.7104546579746387</v>
      </c>
      <c r="F117" s="12">
        <f ca="1">[1]!ripe(F$111,[1]!juhe($T$7,6),$C117,0)</f>
        <v>6.7245258168663202</v>
      </c>
      <c r="G117" s="12">
        <f ca="1">[1]!ripe(G$111,[1]!juhe($T$7,6),$C117,0)</f>
        <v>6.7385994945891756</v>
      </c>
      <c r="H117" s="12">
        <f ca="1">[1]!ripe(H$111,[1]!juhe($T$7,6),$C117,0)</f>
        <v>6.752669666210342</v>
      </c>
      <c r="I117" s="12">
        <f ca="1">[1]!ripe(I$111,[1]!juhe($T$7,6),$C117,0)</f>
        <v>6.7667416270020588</v>
      </c>
      <c r="J117" s="12">
        <f ca="1">[1]!ripe(J$111,[1]!juhe($T$7,6),$C117,0)</f>
        <v>6.7808092984722181</v>
      </c>
      <c r="K117" s="12">
        <f ca="1">[1]!ripe(K$111,[1]!juhe($T$7,6),$C117,0)</f>
        <v>6.7948722605171286</v>
      </c>
      <c r="L117" s="12">
        <f ca="1">[1]!ripe(L$111,[1]!juhe($T$7,6),$C117,0)</f>
        <v>6.8089358702339835</v>
      </c>
      <c r="M117" s="12">
        <f ca="1">[1]!ripe(M$111,[1]!juhe($T$7,6),$C117,0)</f>
        <v>6.8229939683931562</v>
      </c>
      <c r="N117" s="12">
        <f ca="1">[1]!ripe(N$111,[1]!juhe($T$7,6),$C117,0)</f>
        <v>6.8370519535916445</v>
      </c>
      <c r="O117" s="124"/>
      <c r="Q117" s="139" t="s">
        <v>213</v>
      </c>
      <c r="R117" s="129">
        <v>70</v>
      </c>
      <c r="S117" s="129"/>
      <c r="T117" s="129"/>
      <c r="U117" s="129"/>
      <c r="V117" s="129"/>
      <c r="W117" s="129"/>
      <c r="X117" s="129"/>
      <c r="Y117" s="129"/>
      <c r="Z117" s="129"/>
      <c r="AC117" s="11"/>
    </row>
    <row r="118" spans="1:29" x14ac:dyDescent="0.2">
      <c r="A118" s="153"/>
      <c r="B118" s="113" t="str">
        <f t="shared" ca="1" si="45"/>
        <v>159Y-160Y</v>
      </c>
      <c r="C118" s="106">
        <f t="shared" ca="1" si="46"/>
        <v>263.13706732408747</v>
      </c>
      <c r="D118" s="10" t="s">
        <v>31</v>
      </c>
      <c r="E118" s="12">
        <f ca="1">[1]!ripe(E$111,[1]!juhe($T$7,6),$C118,0)</f>
        <v>3.7966319751894075</v>
      </c>
      <c r="F118" s="12">
        <f ca="1">[1]!ripe(F$111,[1]!juhe($T$7,6),$C118,0)</f>
        <v>3.8045931364667047</v>
      </c>
      <c r="G118" s="12">
        <f ca="1">[1]!ripe(G$111,[1]!juhe($T$7,6),$C118,0)</f>
        <v>3.8125557228449032</v>
      </c>
      <c r="H118" s="12">
        <f ca="1">[1]!ripe(H$111,[1]!juhe($T$7,6),$C118,0)</f>
        <v>3.8205163255456216</v>
      </c>
      <c r="I118" s="12">
        <f ca="1">[1]!ripe(I$111,[1]!juhe($T$7,6),$C118,0)</f>
        <v>3.828477940520838</v>
      </c>
      <c r="J118" s="12">
        <f ca="1">[1]!ripe(J$111,[1]!juhe($T$7,6),$C118,0)</f>
        <v>3.836437128689496</v>
      </c>
      <c r="K118" s="12">
        <f ca="1">[1]!ripe(K$111,[1]!juhe($T$7,6),$C118,0)</f>
        <v>3.8443936523658961</v>
      </c>
      <c r="L118" s="12">
        <f ca="1">[1]!ripe(L$111,[1]!juhe($T$7,6),$C118,0)</f>
        <v>3.8523505424812541</v>
      </c>
      <c r="M118" s="12">
        <f ca="1">[1]!ripe(M$111,[1]!juhe($T$7,6),$C118,0)</f>
        <v>3.8603043142749485</v>
      </c>
      <c r="N118" s="12">
        <f ca="1">[1]!ripe(N$111,[1]!juhe($T$7,6),$C118,0)</f>
        <v>3.8682580221578999</v>
      </c>
      <c r="O118" s="124"/>
      <c r="Q118" s="139" t="s">
        <v>213</v>
      </c>
      <c r="R118" s="129">
        <v>71</v>
      </c>
      <c r="S118" s="129"/>
      <c r="T118" s="129"/>
      <c r="U118" s="129"/>
      <c r="V118" s="129"/>
      <c r="W118" s="129"/>
      <c r="X118" s="129"/>
      <c r="Y118" s="129"/>
      <c r="Z118" s="129"/>
      <c r="AC118" s="11"/>
    </row>
    <row r="119" spans="1:29" x14ac:dyDescent="0.2">
      <c r="A119" s="153"/>
      <c r="B119" s="113" t="str">
        <f t="shared" ca="1" si="45"/>
        <v>160Y-161Y</v>
      </c>
      <c r="C119" s="106">
        <f t="shared" ca="1" si="46"/>
        <v>266.90000000004108</v>
      </c>
      <c r="D119" s="10" t="s">
        <v>31</v>
      </c>
      <c r="E119" s="12">
        <f ca="1">[1]!ripe(E$111,[1]!juhe($T$7,6),$C119,0)</f>
        <v>3.9059941482935367</v>
      </c>
      <c r="F119" s="12">
        <f ca="1">[1]!ripe(F$111,[1]!juhe($T$7,6),$C119,0)</f>
        <v>3.9141846312178643</v>
      </c>
      <c r="G119" s="12">
        <f ca="1">[1]!ripe(G$111,[1]!juhe($T$7,6),$C119,0)</f>
        <v>3.9223765802931951</v>
      </c>
      <c r="H119" s="12">
        <f ca="1">[1]!ripe(H$111,[1]!juhe($T$7,6),$C119,0)</f>
        <v>3.9305664885511176</v>
      </c>
      <c r="I119" s="12">
        <f ca="1">[1]!ripe(I$111,[1]!juhe($T$7,6),$C119,0)</f>
        <v>3.9387574382421557</v>
      </c>
      <c r="J119" s="12">
        <f ca="1">[1]!ripe(J$111,[1]!juhe($T$7,6),$C119,0)</f>
        <v>3.946945891222351</v>
      </c>
      <c r="K119" s="12">
        <f ca="1">[1]!ripe(K$111,[1]!juhe($T$7,6),$C119,0)</f>
        <v>3.9551316029594563</v>
      </c>
      <c r="L119" s="12">
        <f ca="1">[1]!ripe(L$111,[1]!juhe($T$7,6),$C119,0)</f>
        <v>3.9633176916908122</v>
      </c>
      <c r="M119" s="12">
        <f ca="1">[1]!ripe(M$111,[1]!juhe($T$7,6),$C119,0)</f>
        <v>3.9715005722770935</v>
      </c>
      <c r="N119" s="12">
        <f ca="1">[1]!ripe(N$111,[1]!juhe($T$7,6),$C119,0)</f>
        <v>3.9796833871116797</v>
      </c>
      <c r="O119" s="124"/>
      <c r="Q119" s="139" t="s">
        <v>213</v>
      </c>
      <c r="R119" s="129">
        <v>72</v>
      </c>
      <c r="S119" s="129"/>
      <c r="T119" s="129"/>
      <c r="U119" s="129"/>
      <c r="V119" s="129"/>
      <c r="W119" s="129"/>
      <c r="X119" s="129"/>
      <c r="Y119" s="129"/>
      <c r="Z119" s="129"/>
      <c r="AC119" s="11"/>
    </row>
    <row r="120" spans="1:29" x14ac:dyDescent="0.2">
      <c r="A120" s="153"/>
      <c r="B120" s="113" t="str">
        <f t="shared" ca="1" si="45"/>
        <v>161Y-162Y</v>
      </c>
      <c r="C120" s="106">
        <f t="shared" ca="1" si="46"/>
        <v>418.92057600454484</v>
      </c>
      <c r="D120" s="10" t="s">
        <v>31</v>
      </c>
      <c r="E120" s="12">
        <f ca="1">[1]!ripe(E$111,[1]!juhe($T$7,6),$C120,0)</f>
        <v>9.6227194636461721</v>
      </c>
      <c r="F120" s="12">
        <f ca="1">[1]!ripe(F$111,[1]!juhe($T$7,6),$C120,0)</f>
        <v>9.6428973534382045</v>
      </c>
      <c r="G120" s="12">
        <f ca="1">[1]!ripe(G$111,[1]!juhe($T$7,6),$C120,0)</f>
        <v>9.6630788552069209</v>
      </c>
      <c r="H120" s="12">
        <f ca="1">[1]!ripe(H$111,[1]!juhe($T$7,6),$C120,0)</f>
        <v>9.6832553292637034</v>
      </c>
      <c r="I120" s="12">
        <f ca="1">[1]!ripe(I$111,[1]!juhe($T$7,6),$C120,0)</f>
        <v>9.7034343689717204</v>
      </c>
      <c r="J120" s="12">
        <f ca="1">[1]!ripe(J$111,[1]!juhe($T$7,6),$C120,0)</f>
        <v>9.7236072578389763</v>
      </c>
      <c r="K120" s="12">
        <f ca="1">[1]!ripe(K$111,[1]!juhe($T$7,6),$C120,0)</f>
        <v>9.7437733934413178</v>
      </c>
      <c r="L120" s="12">
        <f ca="1">[1]!ripe(L$111,[1]!juhe($T$7,6),$C120,0)</f>
        <v>9.7639404577982276</v>
      </c>
      <c r="M120" s="12">
        <f ca="1">[1]!ripe(M$111,[1]!juhe($T$7,6),$C120,0)</f>
        <v>9.7840996186409814</v>
      </c>
      <c r="N120" s="12">
        <f ca="1">[1]!ripe(N$111,[1]!juhe($T$7,6),$C120,0)</f>
        <v>9.804258617499336</v>
      </c>
      <c r="O120" s="124"/>
      <c r="Q120" s="139" t="s">
        <v>213</v>
      </c>
      <c r="R120" s="129">
        <v>73</v>
      </c>
      <c r="S120" s="129"/>
      <c r="T120" s="129"/>
      <c r="U120" s="129"/>
      <c r="V120" s="129"/>
      <c r="W120" s="129"/>
      <c r="X120" s="129"/>
      <c r="Y120" s="129"/>
      <c r="Z120" s="129"/>
      <c r="AC120" s="11"/>
    </row>
    <row r="121" spans="1:29" x14ac:dyDescent="0.2">
      <c r="A121" s="153"/>
      <c r="B121" s="113" t="str">
        <f t="shared" ca="1" si="45"/>
        <v>162Y-163Y</v>
      </c>
      <c r="C121" s="106">
        <f t="shared" ca="1" si="46"/>
        <v>408.63794953476696</v>
      </c>
      <c r="D121" s="10" t="s">
        <v>31</v>
      </c>
      <c r="E121" s="12">
        <f ca="1">[1]!ripe(E$111,[1]!juhe($T$7,6),$C121,0)</f>
        <v>9.1561275395194315</v>
      </c>
      <c r="F121" s="12">
        <f ca="1">[1]!ripe(F$111,[1]!juhe($T$7,6),$C121,0)</f>
        <v>9.175327032252456</v>
      </c>
      <c r="G121" s="12">
        <f ca="1">[1]!ripe(G$111,[1]!juhe($T$7,6),$C121,0)</f>
        <v>9.1945299618225746</v>
      </c>
      <c r="H121" s="12">
        <f ca="1">[1]!ripe(H$111,[1]!juhe($T$7,6),$C121,0)</f>
        <v>9.2137281074673307</v>
      </c>
      <c r="I121" s="12">
        <f ca="1">[1]!ripe(I$111,[1]!juhe($T$7,6),$C121,0)</f>
        <v>9.2329286943585576</v>
      </c>
      <c r="J121" s="12">
        <f ca="1">[1]!ripe(J$111,[1]!juhe($T$7,6),$C121,0)</f>
        <v>9.2521234286545067</v>
      </c>
      <c r="K121" s="12">
        <f ca="1">[1]!ripe(K$111,[1]!juhe($T$7,6),$C121,0)</f>
        <v>9.271311737141712</v>
      </c>
      <c r="L121" s="12">
        <f ca="1">[1]!ripe(L$111,[1]!juhe($T$7,6),$C121,0)</f>
        <v>9.2905009293495038</v>
      </c>
      <c r="M121" s="12">
        <f ca="1">[1]!ripe(M$111,[1]!juhe($T$7,6),$C121,0)</f>
        <v>9.3096826012732521</v>
      </c>
      <c r="N121" s="12">
        <f ca="1">[1]!ripe(N$111,[1]!juhe($T$7,6),$C121,0)</f>
        <v>9.3288641190669956</v>
      </c>
      <c r="O121" s="124"/>
      <c r="Q121" s="139" t="s">
        <v>213</v>
      </c>
      <c r="R121" s="129">
        <v>74</v>
      </c>
      <c r="S121" s="129"/>
      <c r="T121" s="129"/>
      <c r="U121" s="129"/>
      <c r="V121" s="129"/>
      <c r="W121" s="129"/>
      <c r="X121" s="129"/>
      <c r="Y121" s="129"/>
      <c r="Z121" s="129"/>
      <c r="AC121" s="11"/>
    </row>
    <row r="122" spans="1:29" x14ac:dyDescent="0.2">
      <c r="A122" s="108"/>
      <c r="B122" s="113" t="str">
        <f t="shared" ca="1" si="45"/>
        <v>163Y-164Y</v>
      </c>
      <c r="C122" s="106">
        <f t="shared" ca="1" si="46"/>
        <v>408.78360290002473</v>
      </c>
      <c r="D122" s="10" t="s">
        <v>31</v>
      </c>
      <c r="E122" s="12">
        <f ca="1">[1]!ripe(E$111,[1]!juhe($T$7,6),$C122,0)</f>
        <v>9.1626558537190981</v>
      </c>
      <c r="F122" s="12">
        <f ca="1">[1]!ripe(F$111,[1]!juhe($T$7,6),$C122,0)</f>
        <v>9.1818690356805117</v>
      </c>
      <c r="G122" s="12">
        <f ca="1">[1]!ripe(G$111,[1]!juhe($T$7,6),$C122,0)</f>
        <v>9.2010856569294805</v>
      </c>
      <c r="H122" s="12">
        <f ca="1">[1]!ripe(H$111,[1]!juhe($T$7,6),$C122,0)</f>
        <v>9.2202974908421496</v>
      </c>
      <c r="I122" s="12">
        <f ca="1">[1]!ripe(I$111,[1]!juhe($T$7,6),$C122,0)</f>
        <v>9.2395117677418988</v>
      </c>
      <c r="J122" s="12">
        <f ca="1">[1]!ripe(J$111,[1]!juhe($T$7,6),$C122,0)</f>
        <v>9.2587201878734717</v>
      </c>
      <c r="K122" s="12">
        <f ca="1">[1]!ripe(K$111,[1]!juhe($T$7,6),$C122,0)</f>
        <v>9.2779221776147036</v>
      </c>
      <c r="L122" s="12">
        <f ca="1">[1]!ripe(L$111,[1]!juhe($T$7,6),$C122,0)</f>
        <v>9.2971250517066153</v>
      </c>
      <c r="M122" s="12">
        <f ca="1">[1]!ripe(M$111,[1]!juhe($T$7,6),$C122,0)</f>
        <v>9.3163204001525237</v>
      </c>
      <c r="N122" s="12">
        <f ca="1">[1]!ripe(N$111,[1]!juhe($T$7,6),$C122,0)</f>
        <v>9.3355155943585313</v>
      </c>
      <c r="O122" s="124"/>
      <c r="Q122" s="139" t="s">
        <v>213</v>
      </c>
      <c r="R122" s="129">
        <v>75</v>
      </c>
      <c r="S122" s="129"/>
      <c r="T122" s="129"/>
      <c r="U122" s="129"/>
      <c r="V122" s="129"/>
      <c r="W122" s="129"/>
      <c r="X122" s="129"/>
      <c r="Y122" s="129"/>
      <c r="Z122" s="129"/>
    </row>
    <row r="123" spans="1:29" s="114" customFormat="1" hidden="1" x14ac:dyDescent="0.2">
      <c r="A123" s="187">
        <v>1</v>
      </c>
      <c r="B123" s="188" t="str">
        <f ca="1">R124</f>
        <v>164Y - L507 165</v>
      </c>
      <c r="C123" s="207">
        <f ca="1">S124</f>
        <v>426.99285708293951</v>
      </c>
      <c r="D123" s="118" t="s">
        <v>130</v>
      </c>
      <c r="E123" s="119">
        <f ca="1">[1]!Olekuvorrand($C123,$T124,$Y124,$X124,$W124,E$4,[1]!juhe($T124,6),TRUE)</f>
        <v>137.21507787704468</v>
      </c>
      <c r="F123" s="119">
        <f ca="1">[1]!Olekuvorrand($C123,$T124,$Y124,$X124,$W124,F$4,[1]!juhe($T124,6),TRUE)</f>
        <v>136.9900107383728</v>
      </c>
      <c r="G123" s="119">
        <f ca="1">[1]!Olekuvorrand($C123,$T124,$Y124,$X124,$W124,G$4,[1]!juhe($T124,6),TRUE)</f>
        <v>136.76565885543823</v>
      </c>
      <c r="H123" s="119">
        <f ca="1">[1]!Olekuvorrand($C123,$T124,$Y124,$X124,$W124,H$4,[1]!juhe($T124,6),TRUE)</f>
        <v>136.54226064682007</v>
      </c>
      <c r="I123" s="119">
        <f ca="1">[1]!Olekuvorrand($C123,$T124,$Y124,$X124,$W124,I$4,[1]!juhe($T124,6),TRUE)</f>
        <v>136.31969690322876</v>
      </c>
      <c r="J123" s="119">
        <f ca="1">[1]!Olekuvorrand($C123,$T124,$Y124,$X124,$W124,J$4,[1]!juhe($T124,6),TRUE)</f>
        <v>136.09796762466431</v>
      </c>
      <c r="K123" s="119">
        <f ca="1">[1]!Olekuvorrand($C123,$T124,$Y124,$X124,$W124,K$4,[1]!juhe($T124,6),TRUE)</f>
        <v>135.87707281112671</v>
      </c>
      <c r="L123" s="119">
        <f ca="1">[1]!Olekuvorrand($C123,$T124,$Y124,$X124,$W124,L$4,[1]!juhe($T124,6),TRUE)</f>
        <v>135.65689325332642</v>
      </c>
      <c r="M123" s="119">
        <f ca="1">[1]!Olekuvorrand($C123,$T124,$Y124,$X124,$W124,M$4,[1]!juhe($T124,6),TRUE)</f>
        <v>135.43766736984253</v>
      </c>
      <c r="N123" s="119">
        <f ca="1">[1]!Olekuvorrand($C123,$T124,$Y124,$X124,$W124,N$4,[1]!juhe($T124,6),TRUE)</f>
        <v>135.21915674209595</v>
      </c>
      <c r="O123" s="207">
        <f ca="1">U124</f>
        <v>136.09796762466431</v>
      </c>
      <c r="P123" s="136"/>
      <c r="Q123" s="142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8"/>
    </row>
    <row r="124" spans="1:29" s="114" customFormat="1" x14ac:dyDescent="0.2">
      <c r="A124" s="187"/>
      <c r="B124" s="188"/>
      <c r="C124" s="207"/>
      <c r="D124" s="118" t="s">
        <v>32</v>
      </c>
      <c r="E124" s="119">
        <f ca="1">E123*[1]!juhe($T124,2)/10</f>
        <v>1280.2166765928268</v>
      </c>
      <c r="F124" s="119">
        <f ca="1">F123*[1]!juhe($T124,2)/10</f>
        <v>1278.1168001890182</v>
      </c>
      <c r="G124" s="119">
        <f ca="1">G123*[1]!juhe($T124,2)/10</f>
        <v>1276.0235971212387</v>
      </c>
      <c r="H124" s="119">
        <f ca="1">H123*[1]!juhe($T124,2)/10</f>
        <v>1273.9392918348312</v>
      </c>
      <c r="I124" s="119">
        <f ca="1">I123*[1]!juhe($T124,2)/10</f>
        <v>1271.8627721071243</v>
      </c>
      <c r="J124" s="119">
        <f ca="1">J123*[1]!juhe($T124,2)/10</f>
        <v>1269.794037938118</v>
      </c>
      <c r="K124" s="119">
        <f ca="1">K123*[1]!juhe($T124,2)/10</f>
        <v>1267.7330893278122</v>
      </c>
      <c r="L124" s="119">
        <f ca="1">L123*[1]!juhe($T124,2)/10</f>
        <v>1265.6788140535355</v>
      </c>
      <c r="M124" s="119">
        <f ca="1">M123*[1]!juhe($T124,2)/10</f>
        <v>1263.6334365606308</v>
      </c>
      <c r="N124" s="119">
        <f ca="1">N123*[1]!juhe($T124,2)/10</f>
        <v>1261.5947324037552</v>
      </c>
      <c r="O124" s="207"/>
      <c r="P124" s="136"/>
      <c r="Q124" s="142" t="s">
        <v>214</v>
      </c>
      <c r="R124" s="129" t="str">
        <f t="shared" ref="R124:Y124" ca="1" si="47">INDIRECT("'"&amp;$S$1&amp;"'!"&amp;$Q124&amp;R$4)</f>
        <v>164Y - L507 165</v>
      </c>
      <c r="S124" s="129">
        <f t="shared" ca="1" si="47"/>
        <v>426.99285708293951</v>
      </c>
      <c r="T124" s="129" t="str">
        <f t="shared" ca="1" si="47"/>
        <v>OPGW-2S 2/48B1 (0/93-55.3)</v>
      </c>
      <c r="U124" s="129">
        <f t="shared" ca="1" si="47"/>
        <v>136.09796762466431</v>
      </c>
      <c r="V124" s="129">
        <f t="shared" ca="1" si="47"/>
        <v>5</v>
      </c>
      <c r="W124" s="129">
        <f t="shared" ca="1" si="47"/>
        <v>0.22270641221642257</v>
      </c>
      <c r="X124" s="129">
        <f t="shared" ca="1" si="47"/>
        <v>-5</v>
      </c>
      <c r="Y124" s="129">
        <f t="shared" ca="1" si="47"/>
        <v>348.06317090988159</v>
      </c>
      <c r="Z124" s="129">
        <v>1</v>
      </c>
      <c r="AA124" s="128"/>
    </row>
    <row r="125" spans="1:29" s="114" customFormat="1" x14ac:dyDescent="0.2">
      <c r="A125" s="187"/>
      <c r="B125" s="188"/>
      <c r="C125" s="207"/>
      <c r="D125" s="118" t="s">
        <v>31</v>
      </c>
      <c r="E125" s="120">
        <f ca="1">[1]!ripe([1]!Olekuvorrand($C123,$T124,$Y124,$X124,$W124,E$4,[1]!juhe($T124,6),TRUE),[1]!juhe($T124,6),$C123,0)</f>
        <v>10.380766299788213</v>
      </c>
      <c r="F125" s="120">
        <f ca="1">[1]!ripe([1]!Olekuvorrand($C123,$T124,$Y124,$X124,$W124,F$4,[1]!juhe($T124,6),TRUE),[1]!juhe($T124,6),$C123,0)</f>
        <v>10.397821334354031</v>
      </c>
      <c r="G125" s="120">
        <f ca="1">[1]!ripe([1]!Olekuvorrand($C123,$T124,$Y124,$X124,$W124,G$4,[1]!juhe($T124,6),TRUE),[1]!juhe($T124,6),$C123,0)</f>
        <v>10.414878034217887</v>
      </c>
      <c r="H125" s="120">
        <f ca="1">[1]!ripe([1]!Olekuvorrand($C123,$T124,$Y124,$X124,$W124,H$4,[1]!juhe($T124,6),TRUE),[1]!juhe($T124,6),$C123,0)</f>
        <v>10.431917924174293</v>
      </c>
      <c r="I125" s="120">
        <f ca="1">[1]!ripe([1]!Olekuvorrand($C123,$T124,$Y124,$X124,$W124,I$4,[1]!juhe($T124,6),TRUE),[1]!juhe($T124,6),$C123,0)</f>
        <v>10.448949701377332</v>
      </c>
      <c r="J125" s="120">
        <f ca="1">[1]!ripe([1]!Olekuvorrand($C123,$T124,$Y124,$X124,$W124,J$4,[1]!juhe($T124,6),TRUE),[1]!juhe($T124,6),$C123,0)</f>
        <v>10.465973012742511</v>
      </c>
      <c r="K125" s="120">
        <f ca="1">[1]!ripe([1]!Olekuvorrand($C123,$T124,$Y124,$X124,$W124,K$4,[1]!juhe($T124,6),TRUE),[1]!juhe($T124,6),$C123,0)</f>
        <v>10.482987503188244</v>
      </c>
      <c r="L125" s="120">
        <f ca="1">[1]!ripe([1]!Olekuvorrand($C123,$T124,$Y124,$X124,$W124,L$4,[1]!juhe($T124,6),TRUE),[1]!juhe($T124,6),$C123,0)</f>
        <v>10.500002042571568</v>
      </c>
      <c r="M125" s="120">
        <f ca="1">[1]!ripe([1]!Olekuvorrand($C123,$T124,$Y124,$X124,$W124,M$4,[1]!juhe($T124,6),TRUE),[1]!juhe($T124,6),$C123,0)</f>
        <v>10.516997847867591</v>
      </c>
      <c r="N125" s="120">
        <f ca="1">[1]!ripe([1]!Olekuvorrand($C123,$T124,$Y124,$X124,$W124,N$4,[1]!juhe($T124,6),TRUE),[1]!juhe($T124,6),$C123,0)</f>
        <v>10.53399304187054</v>
      </c>
      <c r="O125" s="207"/>
      <c r="P125" s="136"/>
      <c r="Q125" s="142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8"/>
    </row>
    <row r="126" spans="1:29" s="114" customFormat="1" x14ac:dyDescent="0.2">
      <c r="A126" s="187"/>
      <c r="B126" s="188"/>
      <c r="C126" s="207"/>
      <c r="D126" s="118" t="s">
        <v>195</v>
      </c>
      <c r="E126" s="120">
        <f ca="1">[1]!ripe([1]!Olekuvorrand($C123,$T124,$Y124,$X124,$W124,E$4,[1]!juhe($T124,6)),[1]!juhe($T124,6),$C123,0)</f>
        <v>10.380766299788213</v>
      </c>
      <c r="F126" s="120">
        <f ca="1">[1]!ripe([1]!Olekuvorrand($C123,$T124,$Y124,$X124,$W124,F$4,[1]!juhe($T124,6)),[1]!juhe($T124,6),$C123,0)</f>
        <v>10.397821334354031</v>
      </c>
      <c r="G126" s="120">
        <f ca="1">[1]!ripe([1]!Olekuvorrand($C123,$T124,$Y124,$X124,$W124,G$4,[1]!juhe($T124,6)),[1]!juhe($T124,6),$C123,0)</f>
        <v>10.414878034217887</v>
      </c>
      <c r="H126" s="120">
        <f ca="1">[1]!ripe([1]!Olekuvorrand($C123,$T124,$Y124,$X124,$W124,H$4,[1]!juhe($T124,6)),[1]!juhe($T124,6),$C123,0)</f>
        <v>10.431917924174293</v>
      </c>
      <c r="I126" s="120">
        <f ca="1">[1]!ripe([1]!Olekuvorrand($C123,$T124,$Y124,$X124,$W124,I$4,[1]!juhe($T124,6)),[1]!juhe($T124,6),$C123,0)</f>
        <v>10.448949701377332</v>
      </c>
      <c r="J126" s="120">
        <f ca="1">[1]!ripe([1]!Olekuvorrand($C123,$T124,$Y124,$X124,$W124,J$4,[1]!juhe($T124,6)),[1]!juhe($T124,6),$C123,0)</f>
        <v>10.465973012742511</v>
      </c>
      <c r="K126" s="120">
        <f ca="1">[1]!ripe([1]!Olekuvorrand($C123,$T124,$Y124,$X124,$W124,K$4,[1]!juhe($T124,6)),[1]!juhe($T124,6),$C123,0)</f>
        <v>10.482987503188244</v>
      </c>
      <c r="L126" s="120">
        <f ca="1">[1]!ripe([1]!Olekuvorrand($C123,$T124,$Y124,$X124,$W124,L$4,[1]!juhe($T124,6)),[1]!juhe($T124,6),$C123,0)</f>
        <v>10.500002042571568</v>
      </c>
      <c r="M126" s="120">
        <f ca="1">[1]!ripe([1]!Olekuvorrand($C123,$T124,$Y124,$X124,$W124,M$4,[1]!juhe($T124,6)),[1]!juhe($T124,6),$C123,0)</f>
        <v>10.516997847867591</v>
      </c>
      <c r="N126" s="120">
        <f ca="1">[1]!ripe([1]!Olekuvorrand($C123,$T124,$Y124,$X124,$W124,N$4,[1]!juhe($T124,6)),[1]!juhe($T124,6),$C123,0)</f>
        <v>10.53399304187054</v>
      </c>
      <c r="O126" s="207"/>
      <c r="P126" s="136"/>
      <c r="Q126" s="142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8"/>
      <c r="AC126" s="121"/>
    </row>
    <row r="127" spans="1:29" ht="22.5" x14ac:dyDescent="0.2">
      <c r="A127" s="105"/>
      <c r="B127" s="113" t="str">
        <f ca="1">INDIRECT("Visangud!C" &amp; R127)</f>
        <v>164Y-L507 165</v>
      </c>
      <c r="C127" s="106">
        <f ca="1">INDIRECT("Visangud!"&amp;Q127&amp;R127)</f>
        <v>426.99285708293951</v>
      </c>
      <c r="D127" s="10" t="s">
        <v>31</v>
      </c>
      <c r="E127" s="12">
        <f ca="1">[1]!ripe(E$123,[1]!juhe($T$7,6),$C127,0)</f>
        <v>10.380766299788213</v>
      </c>
      <c r="F127" s="12">
        <f ca="1">[1]!ripe(F$123,[1]!juhe($T$7,6),$C127,0)</f>
        <v>10.397821334354031</v>
      </c>
      <c r="G127" s="12">
        <f ca="1">[1]!ripe(G$123,[1]!juhe($T$7,6),$C127,0)</f>
        <v>10.414878034217887</v>
      </c>
      <c r="H127" s="12">
        <f ca="1">[1]!ripe(H$123,[1]!juhe($T$7,6),$C127,0)</f>
        <v>10.431917924174293</v>
      </c>
      <c r="I127" s="12">
        <f ca="1">[1]!ripe(I$123,[1]!juhe($T$7,6),$C127,0)</f>
        <v>10.448949701377332</v>
      </c>
      <c r="J127" s="12">
        <f ca="1">[1]!ripe(J$123,[1]!juhe($T$7,6),$C127,0)</f>
        <v>10.465973012742511</v>
      </c>
      <c r="K127" s="12">
        <f ca="1">[1]!ripe(K$123,[1]!juhe($T$7,6),$C127,0)</f>
        <v>10.482987503188244</v>
      </c>
      <c r="L127" s="12">
        <f ca="1">[1]!ripe(L$123,[1]!juhe($T$7,6),$C127,0)</f>
        <v>10.500002042571568</v>
      </c>
      <c r="M127" s="12">
        <f ca="1">[1]!ripe(M$123,[1]!juhe($T$7,6),$C127,0)</f>
        <v>10.516997847867591</v>
      </c>
      <c r="N127" s="12">
        <f ca="1">[1]!ripe(N$123,[1]!juhe($T$7,6),$C127,0)</f>
        <v>10.53399304187054</v>
      </c>
      <c r="O127" s="124"/>
      <c r="Q127" s="139" t="s">
        <v>214</v>
      </c>
      <c r="R127" s="129">
        <v>76</v>
      </c>
      <c r="S127" s="129"/>
      <c r="T127" s="129"/>
      <c r="U127" s="129"/>
      <c r="V127" s="129"/>
      <c r="W127" s="129"/>
      <c r="X127" s="129"/>
      <c r="Y127" s="129"/>
      <c r="Z127" s="129"/>
      <c r="AC127" s="11"/>
    </row>
  </sheetData>
  <mergeCells count="74">
    <mergeCell ref="A1:C1"/>
    <mergeCell ref="D1:L1"/>
    <mergeCell ref="M1:O1"/>
    <mergeCell ref="A2:C2"/>
    <mergeCell ref="D2:L2"/>
    <mergeCell ref="M2:O2"/>
    <mergeCell ref="S11:S13"/>
    <mergeCell ref="T11:T13"/>
    <mergeCell ref="U11:U13"/>
    <mergeCell ref="V11:V13"/>
    <mergeCell ref="W11:W13"/>
    <mergeCell ref="V2:Y2"/>
    <mergeCell ref="D3:N3"/>
    <mergeCell ref="A5:O5"/>
    <mergeCell ref="A6:A9"/>
    <mergeCell ref="B6:B9"/>
    <mergeCell ref="C6:C9"/>
    <mergeCell ref="O6:O9"/>
    <mergeCell ref="A40:A43"/>
    <mergeCell ref="B40:B43"/>
    <mergeCell ref="C40:C43"/>
    <mergeCell ref="O40:O43"/>
    <mergeCell ref="A49:A52"/>
    <mergeCell ref="B49:B52"/>
    <mergeCell ref="C49:C52"/>
    <mergeCell ref="O49:O52"/>
    <mergeCell ref="A16:A19"/>
    <mergeCell ref="B16:B19"/>
    <mergeCell ref="C16:C19"/>
    <mergeCell ref="O16:O19"/>
    <mergeCell ref="A28:A31"/>
    <mergeCell ref="B28:B31"/>
    <mergeCell ref="A72:A76"/>
    <mergeCell ref="B72:B76"/>
    <mergeCell ref="C72:C76"/>
    <mergeCell ref="O72:O76"/>
    <mergeCell ref="A84:A87"/>
    <mergeCell ref="B84:B87"/>
    <mergeCell ref="C84:C87"/>
    <mergeCell ref="O84:O87"/>
    <mergeCell ref="A55:A58"/>
    <mergeCell ref="B55:B58"/>
    <mergeCell ref="C55:C58"/>
    <mergeCell ref="O55:O58"/>
    <mergeCell ref="A64:A67"/>
    <mergeCell ref="B64:B67"/>
    <mergeCell ref="C64:C67"/>
    <mergeCell ref="O64:O67"/>
    <mergeCell ref="A111:A114"/>
    <mergeCell ref="B111:B114"/>
    <mergeCell ref="C111:C114"/>
    <mergeCell ref="O111:O114"/>
    <mergeCell ref="A92:A95"/>
    <mergeCell ref="B92:B95"/>
    <mergeCell ref="C92:C95"/>
    <mergeCell ref="O92:O95"/>
    <mergeCell ref="A98:A101"/>
    <mergeCell ref="B98:B101"/>
    <mergeCell ref="C98:C101"/>
    <mergeCell ref="O98:O101"/>
    <mergeCell ref="C28:C31"/>
    <mergeCell ref="O28:O31"/>
    <mergeCell ref="A33:A36"/>
    <mergeCell ref="B33:B36"/>
    <mergeCell ref="C33:C36"/>
    <mergeCell ref="O33:O36"/>
    <mergeCell ref="A123:A126"/>
    <mergeCell ref="B123:B126"/>
    <mergeCell ref="C123:C126"/>
    <mergeCell ref="O123:O126"/>
    <mergeCell ref="A105:A108"/>
    <mergeCell ref="B105:B108"/>
    <mergeCell ref="C105:C108"/>
    <mergeCell ref="O105:O108"/>
  </mergeCells>
  <pageMargins left="0.74803149606299213" right="0.28000000000000003" top="0.23622047244094491" bottom="0.39370078740157483" header="0.74803149606299213" footer="0.15748031496062992"/>
  <pageSetup paperSize="9" scale="94" fitToHeight="0" orientation="portrait" r:id="rId1"/>
  <headerFooter alignWithMargins="0">
    <oddHeader>&amp;RLehekülg &amp;P/&amp;N</oddHeader>
    <oddFooter>&amp;R&amp;D</oddFooter>
  </headerFooter>
  <rowBreaks count="1" manualBreakCount="1">
    <brk id="6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T82"/>
  <sheetViews>
    <sheetView zoomScaleNormal="100" workbookViewId="0">
      <pane xSplit="3" ySplit="14" topLeftCell="K15" activePane="bottomRight" state="frozen"/>
      <selection pane="topRight" activeCell="D1" sqref="D1"/>
      <selection pane="bottomLeft" activeCell="A15" sqref="A15"/>
      <selection pane="bottomRight" activeCell="T18" sqref="T18"/>
    </sheetView>
  </sheetViews>
  <sheetFormatPr defaultRowHeight="12.75" x14ac:dyDescent="0.2"/>
  <cols>
    <col min="1" max="1" width="3.42578125" customWidth="1"/>
    <col min="2" max="2" width="10.28515625" style="17" customWidth="1"/>
    <col min="3" max="3" width="29.28515625" style="94" customWidth="1"/>
    <col min="4" max="8" width="13.85546875" customWidth="1"/>
    <col min="9" max="10" width="13.85546875" style="17" customWidth="1"/>
    <col min="11" max="20" width="13.85546875" customWidth="1"/>
  </cols>
  <sheetData>
    <row r="1" spans="2:20" ht="29.25" customHeight="1" x14ac:dyDescent="0.2">
      <c r="B1" s="59" t="s">
        <v>111</v>
      </c>
      <c r="C1" s="59"/>
      <c r="D1" s="59"/>
      <c r="E1" s="59"/>
      <c r="F1" s="59"/>
      <c r="G1" s="59"/>
      <c r="H1" s="59"/>
      <c r="I1" s="59"/>
      <c r="J1" s="59"/>
    </row>
    <row r="2" spans="2:20" x14ac:dyDescent="0.2">
      <c r="B2" s="85"/>
      <c r="C2" s="92" t="s">
        <v>11</v>
      </c>
      <c r="D2" s="74" t="s">
        <v>115</v>
      </c>
      <c r="E2" s="78" t="s">
        <v>116</v>
      </c>
      <c r="F2" s="74" t="s">
        <v>117</v>
      </c>
      <c r="G2" s="74" t="s">
        <v>118</v>
      </c>
      <c r="H2" s="74" t="s">
        <v>119</v>
      </c>
      <c r="I2" s="74" t="s">
        <v>120</v>
      </c>
      <c r="J2" s="74" t="s">
        <v>121</v>
      </c>
      <c r="K2" s="74" t="s">
        <v>226</v>
      </c>
      <c r="L2" s="74" t="s">
        <v>227</v>
      </c>
      <c r="M2" s="74" t="s">
        <v>122</v>
      </c>
      <c r="N2" s="74" t="s">
        <v>123</v>
      </c>
      <c r="O2" s="74" t="s">
        <v>225</v>
      </c>
      <c r="P2" s="74" t="s">
        <v>124</v>
      </c>
      <c r="Q2" s="74" t="s">
        <v>125</v>
      </c>
      <c r="R2" s="75" t="s">
        <v>112</v>
      </c>
      <c r="S2" s="75" t="s">
        <v>113</v>
      </c>
      <c r="T2" s="75" t="s">
        <v>114</v>
      </c>
    </row>
    <row r="3" spans="2:20" x14ac:dyDescent="0.2">
      <c r="B3" s="165" t="s">
        <v>54</v>
      </c>
      <c r="C3" s="93" t="s">
        <v>27</v>
      </c>
      <c r="D3" s="45">
        <v>65</v>
      </c>
      <c r="E3" s="45">
        <v>65</v>
      </c>
      <c r="F3" s="45">
        <v>65</v>
      </c>
      <c r="G3" s="45">
        <v>65</v>
      </c>
      <c r="H3" s="45">
        <v>65</v>
      </c>
      <c r="I3" s="45">
        <v>65</v>
      </c>
      <c r="J3" s="45">
        <v>65</v>
      </c>
      <c r="K3" s="45">
        <v>65</v>
      </c>
      <c r="L3" s="45">
        <v>65</v>
      </c>
      <c r="M3" s="45">
        <v>65</v>
      </c>
      <c r="N3" s="45">
        <v>65</v>
      </c>
      <c r="O3" s="45">
        <v>65</v>
      </c>
      <c r="P3" s="45">
        <v>65</v>
      </c>
      <c r="Q3" s="45">
        <v>65</v>
      </c>
      <c r="R3" s="45">
        <v>65</v>
      </c>
      <c r="S3" s="45">
        <v>65</v>
      </c>
      <c r="T3" s="45">
        <v>65</v>
      </c>
    </row>
    <row r="4" spans="2:20" x14ac:dyDescent="0.2">
      <c r="B4" s="165"/>
      <c r="C4" s="93" t="s">
        <v>62</v>
      </c>
      <c r="D4" s="56">
        <f>[1]!Olekuvorrand(D14,D5,D3,5,[1]!juhe(D5,6),25,[1]!juhe(D5,6))</f>
        <v>60.595810413360596</v>
      </c>
      <c r="E4" s="56">
        <f>[1]!Olekuvorrand(E14,E5,E3,5,[1]!juhe(E5,6),25,[1]!juhe(E5,6))</f>
        <v>60.538113117218018</v>
      </c>
      <c r="F4" s="56">
        <f>[1]!Olekuvorrand(F14,F5,F3,5,[1]!juhe(F5,6),25,[1]!juhe(F5,6))</f>
        <v>60.489952564239502</v>
      </c>
      <c r="G4" s="56">
        <f>[1]!Olekuvorrand(G14,G5,G3,5,[1]!juhe(G5,6),25,[1]!juhe(G5,6))</f>
        <v>58.778107166290283</v>
      </c>
      <c r="H4" s="56">
        <f>[1]!Olekuvorrand(H14,H5,H3,5,[1]!juhe(H5,6),25,[1]!juhe(H5,6))</f>
        <v>60.321509838104248</v>
      </c>
      <c r="I4" s="56">
        <f>[1]!Olekuvorrand(I14,I5,I3,5,[1]!juhe(I5,6),25,[1]!juhe(I5,6))</f>
        <v>60.188710689544678</v>
      </c>
      <c r="J4" s="56">
        <f>[1]!Olekuvorrand(J14,J5,J3,5,[1]!juhe(J5,6),25,[1]!juhe(J5,6))</f>
        <v>59.949815273284912</v>
      </c>
      <c r="K4" s="56">
        <f>[1]!Olekuvorrand(K14,K5,K3,5,[1]!juhe(K5,6),25,[1]!juhe(K5,6))</f>
        <v>60.915887355804443</v>
      </c>
      <c r="L4" s="56">
        <f>[1]!Olekuvorrand(L14,L5,L3,5,[1]!juhe(L5,6),25,[1]!juhe(L5,6))</f>
        <v>59.953391551971436</v>
      </c>
      <c r="M4" s="56">
        <f>[1]!Olekuvorrand(M14,M5,M3,5,[1]!juhe(M5,6),25,[1]!juhe(M5,6))</f>
        <v>60.876548290252686</v>
      </c>
      <c r="N4" s="56">
        <f>[1]!Olekuvorrand(N14,N5,N3,5,[1]!juhe(N5,6),25,[1]!juhe(N5,6))</f>
        <v>60.805261135101318</v>
      </c>
      <c r="O4" s="56">
        <f>[1]!Olekuvorrand(O14,O5,O3,5,[1]!juhe(O5,6),25,[1]!juhe(O5,6))</f>
        <v>59.935629367828369</v>
      </c>
      <c r="P4" s="56">
        <f>[1]!Olekuvorrand(P14,P5,P3,5,[1]!juhe(P5,6),25,[1]!juhe(P5,6))</f>
        <v>58.950603008270264</v>
      </c>
      <c r="Q4" s="56">
        <f>[1]!Olekuvorrand(Q14,Q5,Q3,5,[1]!juhe(Q5,6),25,[1]!juhe(Q5,6))</f>
        <v>59.221804141998291</v>
      </c>
      <c r="R4" s="56">
        <f>[1]!Olekuvorrand(R14,R5,R3,5,[1]!juhe(R5,6),25,[1]!juhe(R5,6))</f>
        <v>60.274779796600342</v>
      </c>
      <c r="S4" s="56"/>
      <c r="T4" s="56"/>
    </row>
    <row r="5" spans="2:20" s="44" customFormat="1" ht="25.5" x14ac:dyDescent="0.2">
      <c r="B5" s="165"/>
      <c r="C5" s="93" t="s">
        <v>93</v>
      </c>
      <c r="D5" s="44" t="s">
        <v>48</v>
      </c>
      <c r="E5" s="44" t="s">
        <v>48</v>
      </c>
      <c r="F5" s="44" t="s">
        <v>48</v>
      </c>
      <c r="G5" s="44" t="s">
        <v>48</v>
      </c>
      <c r="H5" s="44" t="s">
        <v>48</v>
      </c>
      <c r="I5" s="44" t="s">
        <v>48</v>
      </c>
      <c r="J5" s="44" t="s">
        <v>48</v>
      </c>
      <c r="K5" s="44" t="s">
        <v>48</v>
      </c>
      <c r="L5" s="44" t="s">
        <v>48</v>
      </c>
      <c r="M5" s="44" t="s">
        <v>48</v>
      </c>
      <c r="N5" s="44" t="s">
        <v>48</v>
      </c>
      <c r="O5" s="44" t="s">
        <v>48</v>
      </c>
      <c r="P5" s="44" t="s">
        <v>48</v>
      </c>
      <c r="Q5" s="44" t="s">
        <v>48</v>
      </c>
      <c r="R5" s="44" t="s">
        <v>48</v>
      </c>
    </row>
    <row r="6" spans="2:20" s="44" customFormat="1" ht="25.5" x14ac:dyDescent="0.2">
      <c r="B6" s="88"/>
      <c r="C6" s="93" t="s">
        <v>92</v>
      </c>
      <c r="D6" s="44" t="s">
        <v>86</v>
      </c>
      <c r="E6" s="44" t="s">
        <v>86</v>
      </c>
      <c r="F6" s="44" t="s">
        <v>86</v>
      </c>
      <c r="G6" s="44" t="s">
        <v>86</v>
      </c>
      <c r="H6" s="44" t="s">
        <v>86</v>
      </c>
      <c r="I6" s="44" t="s">
        <v>86</v>
      </c>
      <c r="J6" s="44" t="s">
        <v>86</v>
      </c>
      <c r="K6" s="44" t="s">
        <v>86</v>
      </c>
      <c r="L6" s="44" t="s">
        <v>86</v>
      </c>
      <c r="M6" s="44" t="s">
        <v>86</v>
      </c>
      <c r="N6" s="44" t="s">
        <v>86</v>
      </c>
      <c r="O6" s="44" t="s">
        <v>86</v>
      </c>
      <c r="P6" s="44" t="s">
        <v>86</v>
      </c>
      <c r="Q6" s="44" t="s">
        <v>86</v>
      </c>
      <c r="S6" s="44" t="s">
        <v>86</v>
      </c>
      <c r="T6" s="44" t="s">
        <v>86</v>
      </c>
    </row>
    <row r="7" spans="2:20" s="44" customFormat="1" x14ac:dyDescent="0.2">
      <c r="B7" s="59" t="s">
        <v>78</v>
      </c>
      <c r="C7" s="93" t="s">
        <v>50</v>
      </c>
      <c r="D7" s="69" t="s">
        <v>94</v>
      </c>
      <c r="E7" s="69" t="s">
        <v>94</v>
      </c>
      <c r="F7" s="69" t="s">
        <v>94</v>
      </c>
      <c r="G7" s="69" t="s">
        <v>94</v>
      </c>
      <c r="H7" s="69" t="s">
        <v>94</v>
      </c>
      <c r="I7" s="69" t="s">
        <v>94</v>
      </c>
      <c r="J7" s="69" t="s">
        <v>94</v>
      </c>
      <c r="K7" s="69" t="s">
        <v>94</v>
      </c>
      <c r="L7" s="69" t="s">
        <v>94</v>
      </c>
      <c r="M7" s="69" t="s">
        <v>94</v>
      </c>
      <c r="N7" s="69" t="s">
        <v>94</v>
      </c>
      <c r="O7" s="69" t="s">
        <v>94</v>
      </c>
      <c r="P7" s="69" t="s">
        <v>94</v>
      </c>
      <c r="Q7" s="69" t="s">
        <v>94</v>
      </c>
      <c r="R7" s="69" t="s">
        <v>94</v>
      </c>
      <c r="S7" s="69" t="s">
        <v>94</v>
      </c>
    </row>
    <row r="8" spans="2:20" s="44" customFormat="1" ht="38.25" x14ac:dyDescent="0.2">
      <c r="B8" s="59" t="s">
        <v>79</v>
      </c>
      <c r="C8" s="93" t="s">
        <v>50</v>
      </c>
      <c r="D8" s="44" t="s">
        <v>95</v>
      </c>
      <c r="E8" s="44" t="s">
        <v>95</v>
      </c>
      <c r="F8" s="44" t="s">
        <v>95</v>
      </c>
      <c r="G8" s="44" t="s">
        <v>95</v>
      </c>
      <c r="H8" s="44" t="s">
        <v>95</v>
      </c>
      <c r="I8" s="44" t="s">
        <v>95</v>
      </c>
      <c r="J8" s="44" t="s">
        <v>95</v>
      </c>
      <c r="K8" s="44" t="s">
        <v>95</v>
      </c>
      <c r="L8" s="44" t="s">
        <v>95</v>
      </c>
      <c r="M8" s="44" t="s">
        <v>95</v>
      </c>
      <c r="N8" s="44" t="s">
        <v>95</v>
      </c>
      <c r="O8" s="44" t="s">
        <v>95</v>
      </c>
      <c r="P8" s="44" t="s">
        <v>95</v>
      </c>
      <c r="Q8" s="44" t="s">
        <v>95</v>
      </c>
      <c r="R8" s="44" t="s">
        <v>95</v>
      </c>
      <c r="S8" s="44" t="s">
        <v>95</v>
      </c>
    </row>
    <row r="9" spans="2:20" s="2" customFormat="1" ht="15.75" customHeight="1" x14ac:dyDescent="0.2">
      <c r="C9" s="93" t="s">
        <v>46</v>
      </c>
      <c r="D9" s="89">
        <f>'Juhtme rež 330'!D60</f>
        <v>13.197090542604554</v>
      </c>
      <c r="E9" s="89">
        <f>'Juhtme rež 330'!E60</f>
        <v>12.981508297895425</v>
      </c>
      <c r="F9" s="89">
        <f>'Juhtme rež 330'!F60</f>
        <v>12.805508199248012</v>
      </c>
      <c r="G9" s="89">
        <f>'Juhtme rež 330'!G60</f>
        <v>8.3444252930897314</v>
      </c>
      <c r="H9" s="89">
        <f>'Juhtme rež 330'!H60</f>
        <v>12.219743215802239</v>
      </c>
      <c r="I9" s="89">
        <f>'Juhtme rež 330'!I60</f>
        <v>11.786900987820168</v>
      </c>
      <c r="J9" s="89">
        <f>'Juhtme rež 330'!J60</f>
        <v>11.066472257877697</v>
      </c>
      <c r="K9" s="89">
        <f>'Juhtme rež 330'!K60</f>
        <v>14.505675050960399</v>
      </c>
      <c r="L9" s="89">
        <f>'Juhtme rež 330'!L60</f>
        <v>11.076658278434916</v>
      </c>
      <c r="M9" s="89">
        <f>'Juhtme rež 330'!M60</f>
        <v>14.333628582910183</v>
      </c>
      <c r="N9" s="89">
        <f>'Juhtme rež 330'!N60</f>
        <v>14.030898715428373</v>
      </c>
      <c r="O9" s="89">
        <f>'Juhtme rež 330'!O60</f>
        <v>11.025601817033241</v>
      </c>
      <c r="P9" s="89">
        <f>'Juhtme rež 330'!P60</f>
        <v>8.6779132667759935</v>
      </c>
      <c r="Q9" s="89">
        <f>'Juhtme rež 330'!Q60</f>
        <v>9.2429820072990179</v>
      </c>
      <c r="R9" s="89">
        <f>'Juhtme rež 330'!R60</f>
        <v>12.064586915297868</v>
      </c>
      <c r="S9" s="89" t="e">
        <f>'Juhtme rež 330'!#REF!</f>
        <v>#REF!</v>
      </c>
      <c r="T9" s="89" t="e">
        <f>'Juhtme rež 330'!#REF!</f>
        <v>#REF!</v>
      </c>
    </row>
    <row r="10" spans="2:20" s="2" customFormat="1" ht="15.75" customHeight="1" x14ac:dyDescent="0.2">
      <c r="C10" s="93" t="s">
        <v>44</v>
      </c>
      <c r="D10" s="89">
        <v>11.7</v>
      </c>
      <c r="E10" s="89">
        <v>11.5</v>
      </c>
      <c r="F10" s="89">
        <v>11.3</v>
      </c>
      <c r="G10" s="89">
        <v>6.9</v>
      </c>
      <c r="H10" s="89">
        <v>10.7</v>
      </c>
      <c r="I10" s="89">
        <v>10.3</v>
      </c>
      <c r="J10" s="89">
        <v>9.5</v>
      </c>
      <c r="K10" s="89">
        <v>14</v>
      </c>
      <c r="L10" s="90">
        <v>10</v>
      </c>
      <c r="M10" s="90">
        <v>12.8</v>
      </c>
      <c r="N10" s="90">
        <v>12.5</v>
      </c>
      <c r="O10" s="91">
        <v>9.5</v>
      </c>
      <c r="P10" s="90">
        <v>7.2</v>
      </c>
      <c r="Q10" s="89">
        <v>7.7</v>
      </c>
      <c r="R10" s="89">
        <v>10.5</v>
      </c>
      <c r="S10" s="89"/>
      <c r="T10" s="89"/>
    </row>
    <row r="11" spans="2:20" s="2" customFormat="1" ht="15.75" customHeight="1" x14ac:dyDescent="0.2">
      <c r="C11" s="93" t="s">
        <v>45</v>
      </c>
      <c r="D11" s="89">
        <v>11.7</v>
      </c>
      <c r="E11" s="89">
        <v>11.5</v>
      </c>
      <c r="F11" s="89">
        <v>11.3</v>
      </c>
      <c r="G11" s="89">
        <v>6.9</v>
      </c>
      <c r="H11" s="89">
        <v>10.7</v>
      </c>
      <c r="I11" s="89">
        <v>10.3</v>
      </c>
      <c r="J11" s="89">
        <v>9.5</v>
      </c>
      <c r="K11" s="89">
        <v>14</v>
      </c>
      <c r="L11" s="90">
        <v>10</v>
      </c>
      <c r="M11" s="90">
        <v>12.8</v>
      </c>
      <c r="N11" s="90">
        <v>12.5</v>
      </c>
      <c r="O11" s="91">
        <v>9.5</v>
      </c>
      <c r="P11" s="90">
        <v>7.2</v>
      </c>
      <c r="Q11" s="89">
        <v>7.7</v>
      </c>
      <c r="R11" s="89">
        <v>10.5</v>
      </c>
      <c r="S11" s="89"/>
      <c r="T11" s="89"/>
    </row>
    <row r="12" spans="2:20" ht="15.75" customHeight="1" x14ac:dyDescent="0.2">
      <c r="B12"/>
      <c r="D12" s="3">
        <f t="shared" ref="D12:R12" si="0">D9-1.5</f>
        <v>11.697090542604554</v>
      </c>
      <c r="E12" s="3">
        <f t="shared" si="0"/>
        <v>11.481508297895425</v>
      </c>
      <c r="F12" s="3">
        <f t="shared" si="0"/>
        <v>11.305508199248012</v>
      </c>
      <c r="G12" s="3">
        <f t="shared" si="0"/>
        <v>6.8444252930897314</v>
      </c>
      <c r="H12" s="3">
        <f t="shared" si="0"/>
        <v>10.719743215802239</v>
      </c>
      <c r="I12" s="3">
        <f t="shared" si="0"/>
        <v>10.286900987820168</v>
      </c>
      <c r="J12" s="3">
        <f t="shared" si="0"/>
        <v>9.5664722578776971</v>
      </c>
      <c r="K12" s="3">
        <f t="shared" si="0"/>
        <v>13.005675050960399</v>
      </c>
      <c r="L12" s="3">
        <f t="shared" si="0"/>
        <v>9.5766582784349161</v>
      </c>
      <c r="M12" s="3">
        <f t="shared" si="0"/>
        <v>12.833628582910183</v>
      </c>
      <c r="N12" s="3">
        <f t="shared" si="0"/>
        <v>12.530898715428373</v>
      </c>
      <c r="O12" s="3">
        <f t="shared" si="0"/>
        <v>9.525601817033241</v>
      </c>
      <c r="P12" s="3">
        <f t="shared" si="0"/>
        <v>7.1779132667759935</v>
      </c>
      <c r="Q12" s="3">
        <f t="shared" si="0"/>
        <v>7.7429820072990179</v>
      </c>
      <c r="R12" s="3">
        <f t="shared" si="0"/>
        <v>10.564586915297868</v>
      </c>
    </row>
    <row r="13" spans="2:20" x14ac:dyDescent="0.2">
      <c r="B13" s="74"/>
      <c r="C13" s="95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2:20" s="50" customFormat="1" x14ac:dyDescent="0.2">
      <c r="C14" s="96" t="s">
        <v>103</v>
      </c>
      <c r="D14" s="97">
        <f>[2]!larv(D15:D115)</f>
        <v>447.20458836298803</v>
      </c>
      <c r="E14" s="97">
        <f>[2]!larv(E15:E115)</f>
        <v>443.42681236767572</v>
      </c>
      <c r="F14" s="97">
        <f>[2]!larv(F15:F115)</f>
        <v>440.31887592980098</v>
      </c>
      <c r="G14" s="97">
        <f>[2]!larv(G15:G115)</f>
        <v>352.77649774332502</v>
      </c>
      <c r="H14" s="97">
        <f>[2]!larv(H15:H115)</f>
        <v>429.81699666990465</v>
      </c>
      <c r="I14" s="97">
        <f>[2]!larv(I15:I115)</f>
        <v>421.89254548697357</v>
      </c>
      <c r="J14" s="97">
        <f>[2]!larv(J15:J115)</f>
        <v>408.37030439381806</v>
      </c>
      <c r="K14" s="97">
        <f>[2]!larv(K15:K115)</f>
        <v>469.49775693170682</v>
      </c>
      <c r="L14" s="97">
        <f>[2]!larv(L15:L115)</f>
        <v>408.56484089595034</v>
      </c>
      <c r="M14" s="97">
        <f>[2]!larv(M15:M115)</f>
        <v>466.6264206472535</v>
      </c>
      <c r="N14" s="97">
        <f>[2]!larv(N15:N115)</f>
        <v>461.53149095186666</v>
      </c>
      <c r="O14" s="97">
        <f>[2]!larv(O15:O115)</f>
        <v>407.59018580213103</v>
      </c>
      <c r="P14" s="97">
        <f>[2]!larv(P15:P115)</f>
        <v>360.03370480776539</v>
      </c>
      <c r="Q14" s="97">
        <f>[2]!larv(Q15:Q115)</f>
        <v>372.01845882629567</v>
      </c>
      <c r="R14" s="97">
        <f>[2]!larv(R15:R115)</f>
        <v>426.99285708293951</v>
      </c>
      <c r="S14" s="97">
        <f>[2]!larv(S15:S115)</f>
        <v>290.98</v>
      </c>
      <c r="T14" s="97">
        <f>[2]!larv(T15:T115)</f>
        <v>182.89033681409401</v>
      </c>
    </row>
    <row r="15" spans="2:20" ht="15" x14ac:dyDescent="0.2">
      <c r="B15" s="74"/>
      <c r="C15" s="111" t="s">
        <v>132</v>
      </c>
      <c r="D15" s="212">
        <v>427.66737956155202</v>
      </c>
      <c r="I15"/>
      <c r="J15"/>
    </row>
    <row r="16" spans="2:20" ht="15" x14ac:dyDescent="0.2">
      <c r="B16" s="74"/>
      <c r="C16" s="111" t="s">
        <v>133</v>
      </c>
      <c r="D16" s="212">
        <v>450.81823399219502</v>
      </c>
      <c r="I16"/>
      <c r="J16"/>
    </row>
    <row r="17" spans="2:18" ht="15" x14ac:dyDescent="0.2">
      <c r="B17" s="74"/>
      <c r="C17" s="111" t="s">
        <v>134</v>
      </c>
      <c r="D17" s="212">
        <v>450.82239030482776</v>
      </c>
      <c r="I17"/>
      <c r="J17"/>
    </row>
    <row r="18" spans="2:18" ht="15" x14ac:dyDescent="0.2">
      <c r="B18" s="74"/>
      <c r="C18" s="111" t="s">
        <v>135</v>
      </c>
      <c r="D18" s="212">
        <v>450.81940475091346</v>
      </c>
      <c r="I18"/>
      <c r="J18"/>
    </row>
    <row r="19" spans="2:18" ht="15" x14ac:dyDescent="0.2">
      <c r="B19" s="74"/>
      <c r="C19" s="111" t="s">
        <v>136</v>
      </c>
      <c r="D19" s="212">
        <v>450.88263938651085</v>
      </c>
      <c r="I19"/>
      <c r="J19"/>
    </row>
    <row r="20" spans="2:18" ht="15" x14ac:dyDescent="0.25">
      <c r="B20" s="74"/>
      <c r="C20" s="111" t="s">
        <v>137</v>
      </c>
      <c r="D20" s="213">
        <v>450.73649608150839</v>
      </c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</row>
    <row r="21" spans="2:18" ht="15" x14ac:dyDescent="0.2">
      <c r="B21" s="74"/>
      <c r="C21" s="111" t="s">
        <v>138</v>
      </c>
      <c r="E21" s="212">
        <v>443.31831024674671</v>
      </c>
      <c r="I21"/>
      <c r="J21"/>
    </row>
    <row r="22" spans="2:18" ht="15" x14ac:dyDescent="0.2">
      <c r="B22" s="74"/>
      <c r="C22" s="111" t="s">
        <v>139</v>
      </c>
      <c r="E22" s="212">
        <v>448.46203239510157</v>
      </c>
      <c r="I22"/>
      <c r="J22"/>
    </row>
    <row r="23" spans="2:18" ht="15" x14ac:dyDescent="0.2">
      <c r="B23" s="74"/>
      <c r="C23" s="111" t="s">
        <v>140</v>
      </c>
      <c r="E23" s="212">
        <v>437.42198870199996</v>
      </c>
      <c r="I23"/>
      <c r="J23"/>
    </row>
    <row r="24" spans="2:18" ht="15" x14ac:dyDescent="0.2">
      <c r="B24" s="74"/>
      <c r="C24" s="111" t="s">
        <v>141</v>
      </c>
      <c r="E24" s="212">
        <v>443.2931465746102</v>
      </c>
      <c r="I24"/>
      <c r="J24"/>
    </row>
    <row r="25" spans="2:18" ht="15" x14ac:dyDescent="0.2">
      <c r="B25" s="74"/>
      <c r="C25" s="111" t="s">
        <v>142</v>
      </c>
      <c r="E25" s="212">
        <v>444.94337909448757</v>
      </c>
      <c r="I25"/>
      <c r="J25"/>
    </row>
    <row r="26" spans="2:18" ht="15" x14ac:dyDescent="0.2">
      <c r="B26" s="74"/>
      <c r="C26" s="111" t="s">
        <v>143</v>
      </c>
      <c r="E26" s="212">
        <v>443.31750879030767</v>
      </c>
      <c r="I26"/>
      <c r="J26"/>
    </row>
    <row r="27" spans="2:18" ht="15" x14ac:dyDescent="0.2">
      <c r="B27" s="74"/>
      <c r="C27" s="111" t="s">
        <v>144</v>
      </c>
      <c r="E27" s="212">
        <v>443.02190566605429</v>
      </c>
      <c r="I27"/>
      <c r="J27"/>
    </row>
    <row r="28" spans="2:18" ht="15" x14ac:dyDescent="0.25">
      <c r="B28" s="74"/>
      <c r="C28" s="111" t="s">
        <v>145</v>
      </c>
      <c r="D28" s="214"/>
      <c r="E28" s="213">
        <v>443.42023014286383</v>
      </c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</row>
    <row r="29" spans="2:18" ht="15" x14ac:dyDescent="0.25">
      <c r="B29" s="74"/>
      <c r="C29" s="111" t="s">
        <v>146</v>
      </c>
      <c r="D29" s="214"/>
      <c r="E29" s="214"/>
      <c r="F29" s="213">
        <v>440.31887592980098</v>
      </c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</row>
    <row r="30" spans="2:18" ht="15" x14ac:dyDescent="0.2">
      <c r="B30" s="74"/>
      <c r="C30" s="111" t="s">
        <v>147</v>
      </c>
      <c r="G30" s="212">
        <v>350.00766405881359</v>
      </c>
      <c r="I30"/>
      <c r="J30"/>
    </row>
    <row r="31" spans="2:18" ht="15" x14ac:dyDescent="0.2">
      <c r="B31" s="74"/>
      <c r="C31" s="111" t="s">
        <v>148</v>
      </c>
      <c r="G31" s="212">
        <v>354.20859631022307</v>
      </c>
      <c r="I31"/>
      <c r="J31"/>
    </row>
    <row r="32" spans="2:18" ht="15" x14ac:dyDescent="0.25">
      <c r="B32" s="74"/>
      <c r="C32" s="111" t="s">
        <v>149</v>
      </c>
      <c r="D32" s="214"/>
      <c r="E32" s="214"/>
      <c r="F32" s="214"/>
      <c r="G32" s="213">
        <v>354.06492130690555</v>
      </c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</row>
    <row r="33" spans="2:18" ht="15" x14ac:dyDescent="0.2">
      <c r="B33" s="74"/>
      <c r="C33" s="111" t="s">
        <v>150</v>
      </c>
      <c r="H33" s="212">
        <v>449.09595110651054</v>
      </c>
      <c r="I33"/>
      <c r="J33"/>
    </row>
    <row r="34" spans="2:18" ht="15" x14ac:dyDescent="0.2">
      <c r="B34" s="74"/>
      <c r="C34" s="111" t="s">
        <v>151</v>
      </c>
      <c r="H34" s="212">
        <v>441.34479763573052</v>
      </c>
      <c r="I34"/>
      <c r="J34"/>
    </row>
    <row r="35" spans="2:18" ht="15" x14ac:dyDescent="0.2">
      <c r="B35" s="74"/>
      <c r="C35" s="111" t="s">
        <v>152</v>
      </c>
      <c r="H35" s="212">
        <v>449.20141629336644</v>
      </c>
      <c r="I35"/>
      <c r="J35"/>
    </row>
    <row r="36" spans="2:18" ht="15" x14ac:dyDescent="0.2">
      <c r="B36" s="74"/>
      <c r="C36" s="111" t="s">
        <v>153</v>
      </c>
      <c r="H36" s="212">
        <v>436.49370213105294</v>
      </c>
      <c r="I36"/>
      <c r="J36"/>
    </row>
    <row r="37" spans="2:18" ht="15" x14ac:dyDescent="0.25">
      <c r="B37" s="74"/>
      <c r="C37" s="111" t="s">
        <v>154</v>
      </c>
      <c r="D37" s="214"/>
      <c r="E37" s="214"/>
      <c r="F37" s="214"/>
      <c r="G37" s="214"/>
      <c r="H37" s="213">
        <v>347.58182475472358</v>
      </c>
      <c r="I37" s="214"/>
      <c r="J37" s="214"/>
      <c r="K37" s="214"/>
      <c r="L37" s="214"/>
      <c r="M37" s="214"/>
      <c r="N37" s="214"/>
      <c r="O37" s="214"/>
      <c r="P37" s="214"/>
      <c r="Q37" s="214"/>
      <c r="R37" s="214"/>
    </row>
    <row r="38" spans="2:18" ht="15" x14ac:dyDescent="0.2">
      <c r="B38" s="74"/>
      <c r="C38" s="111" t="s">
        <v>155</v>
      </c>
      <c r="I38" s="212">
        <v>417.31009393500989</v>
      </c>
      <c r="J38"/>
    </row>
    <row r="39" spans="2:18" ht="15" x14ac:dyDescent="0.25">
      <c r="B39" s="74"/>
      <c r="C39" s="111" t="s">
        <v>156</v>
      </c>
      <c r="D39" s="214"/>
      <c r="E39" s="214"/>
      <c r="F39" s="214"/>
      <c r="G39" s="214"/>
      <c r="H39" s="214"/>
      <c r="I39" s="213">
        <v>426.33034198842131</v>
      </c>
      <c r="J39" s="214"/>
      <c r="K39" s="214"/>
      <c r="L39" s="214"/>
      <c r="M39" s="214"/>
      <c r="N39" s="214"/>
      <c r="O39" s="214"/>
      <c r="P39" s="214"/>
      <c r="Q39" s="214"/>
      <c r="R39" s="214"/>
    </row>
    <row r="40" spans="2:18" ht="15" x14ac:dyDescent="0.2">
      <c r="B40" s="74"/>
      <c r="C40" s="111" t="s">
        <v>157</v>
      </c>
      <c r="I40"/>
      <c r="J40" s="212">
        <v>358.28273639717588</v>
      </c>
    </row>
    <row r="41" spans="2:18" ht="15" x14ac:dyDescent="0.2">
      <c r="B41" s="74"/>
      <c r="C41" s="111" t="s">
        <v>158</v>
      </c>
      <c r="I41"/>
      <c r="J41" s="212">
        <v>430.99081475115867</v>
      </c>
    </row>
    <row r="42" spans="2:18" ht="15" x14ac:dyDescent="0.2">
      <c r="B42" s="74"/>
      <c r="C42" s="111" t="s">
        <v>159</v>
      </c>
      <c r="I42"/>
      <c r="J42" s="212">
        <v>417.88582567503056</v>
      </c>
    </row>
    <row r="43" spans="2:18" ht="15" x14ac:dyDescent="0.2">
      <c r="B43" s="74"/>
      <c r="C43" s="111" t="s">
        <v>160</v>
      </c>
      <c r="I43"/>
      <c r="J43" s="212">
        <v>450.42386359941628</v>
      </c>
    </row>
    <row r="44" spans="2:18" ht="15" x14ac:dyDescent="0.25">
      <c r="B44" s="74"/>
      <c r="C44" s="111" t="s">
        <v>161</v>
      </c>
      <c r="D44" s="214"/>
      <c r="E44" s="214"/>
      <c r="F44" s="214"/>
      <c r="G44" s="214"/>
      <c r="H44" s="214"/>
      <c r="I44" s="214"/>
      <c r="J44" s="213">
        <v>357.27048604651083</v>
      </c>
      <c r="K44" s="214"/>
      <c r="L44" s="214"/>
      <c r="M44" s="214"/>
      <c r="N44" s="214"/>
      <c r="O44" s="214"/>
      <c r="P44" s="214"/>
      <c r="Q44" s="214"/>
      <c r="R44" s="214"/>
    </row>
    <row r="45" spans="2:18" ht="15" x14ac:dyDescent="0.2">
      <c r="B45" s="74"/>
      <c r="C45" s="111" t="s">
        <v>162</v>
      </c>
      <c r="I45"/>
      <c r="J45"/>
      <c r="K45" s="212">
        <v>474.33886125844168</v>
      </c>
    </row>
    <row r="46" spans="2:18" ht="15" x14ac:dyDescent="0.2">
      <c r="B46" s="74"/>
      <c r="C46" s="111" t="s">
        <v>163</v>
      </c>
      <c r="I46"/>
      <c r="J46"/>
      <c r="K46" s="212">
        <v>492.19301752466902</v>
      </c>
    </row>
    <row r="47" spans="2:18" ht="15" x14ac:dyDescent="0.2">
      <c r="B47" s="74"/>
      <c r="C47" s="111" t="s">
        <v>164</v>
      </c>
      <c r="I47"/>
      <c r="J47"/>
      <c r="K47" s="212">
        <v>492.2440911783234</v>
      </c>
    </row>
    <row r="48" spans="2:18" ht="15" x14ac:dyDescent="0.25">
      <c r="B48" s="74"/>
      <c r="C48" s="111" t="s">
        <v>165</v>
      </c>
      <c r="D48" s="214"/>
      <c r="E48" s="214"/>
      <c r="F48" s="214"/>
      <c r="G48" s="214"/>
      <c r="H48" s="214"/>
      <c r="I48" s="214"/>
      <c r="J48" s="214"/>
      <c r="K48" s="213">
        <v>401.88288007822365</v>
      </c>
      <c r="L48" s="214"/>
      <c r="M48" s="214"/>
      <c r="N48" s="214"/>
      <c r="O48" s="214"/>
      <c r="P48" s="214"/>
      <c r="Q48" s="214"/>
      <c r="R48" s="214"/>
    </row>
    <row r="49" spans="2:20" ht="15" x14ac:dyDescent="0.2">
      <c r="B49" s="74"/>
      <c r="C49" s="111" t="s">
        <v>166</v>
      </c>
      <c r="I49"/>
      <c r="J49"/>
      <c r="L49" s="212">
        <v>337.62544054022163</v>
      </c>
    </row>
    <row r="50" spans="2:20" ht="15" x14ac:dyDescent="0.2">
      <c r="B50" s="74"/>
      <c r="C50" s="111" t="s">
        <v>167</v>
      </c>
      <c r="I50"/>
      <c r="J50"/>
      <c r="L50" s="212">
        <v>430.12785820032502</v>
      </c>
    </row>
    <row r="51" spans="2:20" ht="15" x14ac:dyDescent="0.2">
      <c r="B51" s="74"/>
      <c r="C51" s="111" t="s">
        <v>168</v>
      </c>
      <c r="I51"/>
      <c r="J51"/>
      <c r="L51" s="212">
        <v>430.12950840414629</v>
      </c>
    </row>
    <row r="52" spans="2:20" ht="15" x14ac:dyDescent="0.2">
      <c r="B52" s="74"/>
      <c r="C52" s="111" t="s">
        <v>169</v>
      </c>
      <c r="I52"/>
      <c r="J52"/>
      <c r="L52" s="212">
        <v>430.16843143122901</v>
      </c>
    </row>
    <row r="53" spans="2:20" ht="15" x14ac:dyDescent="0.2">
      <c r="B53" s="74"/>
      <c r="C53" s="111" t="s">
        <v>170</v>
      </c>
      <c r="I53"/>
      <c r="J53"/>
      <c r="L53" s="212">
        <v>402.92485614569125</v>
      </c>
    </row>
    <row r="54" spans="2:20" ht="15" x14ac:dyDescent="0.2">
      <c r="B54" s="74"/>
      <c r="C54" s="111" t="s">
        <v>171</v>
      </c>
      <c r="I54"/>
      <c r="J54"/>
      <c r="L54" s="212">
        <v>403.02554720514649</v>
      </c>
    </row>
    <row r="55" spans="2:20" ht="15" x14ac:dyDescent="0.25">
      <c r="B55" s="74"/>
      <c r="C55" s="111" t="s">
        <v>172</v>
      </c>
      <c r="D55" s="214"/>
      <c r="E55" s="214"/>
      <c r="F55" s="214"/>
      <c r="G55" s="214"/>
      <c r="H55" s="214"/>
      <c r="I55" s="214"/>
      <c r="J55" s="214"/>
      <c r="K55" s="214"/>
      <c r="L55" s="213">
        <v>402.98537355589087</v>
      </c>
      <c r="M55" s="214"/>
      <c r="N55" s="214"/>
      <c r="O55" s="214"/>
      <c r="P55" s="214"/>
      <c r="Q55" s="214"/>
      <c r="R55" s="214"/>
      <c r="S55" s="214"/>
      <c r="T55" s="214"/>
    </row>
    <row r="56" spans="2:20" ht="15" x14ac:dyDescent="0.2">
      <c r="B56" s="74"/>
      <c r="C56" s="111" t="s">
        <v>173</v>
      </c>
      <c r="I56"/>
      <c r="J56"/>
      <c r="M56" s="212">
        <v>455.65188905548916</v>
      </c>
    </row>
    <row r="57" spans="2:20" ht="15" x14ac:dyDescent="0.2">
      <c r="B57" s="74"/>
      <c r="C57" s="111" t="s">
        <v>174</v>
      </c>
      <c r="I57"/>
      <c r="J57"/>
      <c r="M57" s="212">
        <v>475.51169912002717</v>
      </c>
    </row>
    <row r="58" spans="2:20" ht="15" x14ac:dyDescent="0.2">
      <c r="B58" s="74"/>
      <c r="C58" s="111" t="s">
        <v>175</v>
      </c>
      <c r="I58"/>
      <c r="J58"/>
      <c r="M58" s="212">
        <v>439.71215675729928</v>
      </c>
    </row>
    <row r="59" spans="2:20" ht="15" x14ac:dyDescent="0.25">
      <c r="B59" s="74"/>
      <c r="C59" s="111" t="s">
        <v>176</v>
      </c>
      <c r="D59" s="214"/>
      <c r="E59" s="214"/>
      <c r="F59" s="214"/>
      <c r="G59" s="214"/>
      <c r="H59" s="214"/>
      <c r="I59" s="214"/>
      <c r="J59" s="214"/>
      <c r="K59" s="214"/>
      <c r="L59" s="214"/>
      <c r="M59" s="213">
        <v>490.79630907322172</v>
      </c>
      <c r="N59" s="214"/>
      <c r="O59" s="214"/>
      <c r="P59" s="214"/>
      <c r="Q59" s="214"/>
      <c r="R59" s="214"/>
      <c r="S59" s="214"/>
      <c r="T59" s="214"/>
    </row>
    <row r="60" spans="2:20" ht="15" x14ac:dyDescent="0.2">
      <c r="B60" s="74"/>
      <c r="C60" s="111" t="s">
        <v>177</v>
      </c>
      <c r="I60"/>
      <c r="J60"/>
      <c r="N60" s="212">
        <v>455.88600822974109</v>
      </c>
    </row>
    <row r="61" spans="2:20" ht="15" x14ac:dyDescent="0.2">
      <c r="B61" s="74"/>
      <c r="C61" s="111" t="s">
        <v>178</v>
      </c>
      <c r="I61"/>
      <c r="J61"/>
      <c r="N61" s="212">
        <v>455.60098968291328</v>
      </c>
    </row>
    <row r="62" spans="2:20" ht="15" x14ac:dyDescent="0.25">
      <c r="B62" s="74"/>
      <c r="C62" s="111" t="s">
        <v>179</v>
      </c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3">
        <v>472.49663385054333</v>
      </c>
      <c r="O62" s="214"/>
      <c r="P62" s="214"/>
      <c r="Q62" s="214"/>
      <c r="R62" s="214"/>
      <c r="S62" s="214"/>
      <c r="T62" s="214"/>
    </row>
    <row r="63" spans="2:20" ht="15" x14ac:dyDescent="0.2">
      <c r="B63" s="74"/>
      <c r="C63" s="111" t="s">
        <v>180</v>
      </c>
      <c r="I63"/>
      <c r="J63"/>
      <c r="O63" s="212">
        <v>247.1419107672823</v>
      </c>
    </row>
    <row r="64" spans="2:20" ht="15" x14ac:dyDescent="0.2">
      <c r="B64" s="74"/>
      <c r="C64" s="111" t="s">
        <v>181</v>
      </c>
      <c r="I64"/>
      <c r="J64"/>
      <c r="O64" s="212">
        <v>420.36242601072905</v>
      </c>
    </row>
    <row r="65" spans="2:20" ht="15" x14ac:dyDescent="0.25">
      <c r="B65" s="74"/>
      <c r="C65" s="111" t="s">
        <v>182</v>
      </c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3">
        <v>461.2772269470675</v>
      </c>
      <c r="P65" s="214"/>
      <c r="Q65" s="214"/>
      <c r="R65" s="214"/>
      <c r="S65" s="214"/>
      <c r="T65" s="214"/>
    </row>
    <row r="66" spans="2:20" ht="15" x14ac:dyDescent="0.2">
      <c r="B66" s="74"/>
      <c r="C66" s="111" t="s">
        <v>183</v>
      </c>
      <c r="I66"/>
      <c r="J66"/>
      <c r="P66" s="212">
        <v>368.2816644906481</v>
      </c>
    </row>
    <row r="67" spans="2:20" ht="15" x14ac:dyDescent="0.25">
      <c r="B67" s="74"/>
      <c r="C67" s="111" t="s">
        <v>184</v>
      </c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3">
        <v>351.17594920461329</v>
      </c>
      <c r="Q67" s="214"/>
      <c r="R67" s="214"/>
      <c r="S67" s="214"/>
      <c r="T67" s="214"/>
    </row>
    <row r="68" spans="2:20" ht="15" x14ac:dyDescent="0.2">
      <c r="B68" s="74"/>
      <c r="C68" s="111" t="s">
        <v>185</v>
      </c>
      <c r="I68"/>
      <c r="J68"/>
      <c r="Q68" s="212">
        <v>433.08823546734413</v>
      </c>
    </row>
    <row r="69" spans="2:20" ht="15" x14ac:dyDescent="0.2">
      <c r="B69" s="74"/>
      <c r="C69" s="111" t="s">
        <v>186</v>
      </c>
      <c r="I69"/>
      <c r="J69"/>
      <c r="Q69" s="212">
        <v>258.13248245795143</v>
      </c>
    </row>
    <row r="70" spans="2:20" ht="15" x14ac:dyDescent="0.2">
      <c r="B70" s="74"/>
      <c r="C70" s="111" t="s">
        <v>187</v>
      </c>
      <c r="I70"/>
      <c r="J70"/>
      <c r="Q70" s="212">
        <v>349.83137152091001</v>
      </c>
    </row>
    <row r="71" spans="2:20" ht="15" x14ac:dyDescent="0.2">
      <c r="B71" s="74"/>
      <c r="C71" s="111" t="s">
        <v>188</v>
      </c>
      <c r="I71"/>
      <c r="J71"/>
      <c r="Q71" s="212">
        <v>263.13706732408747</v>
      </c>
    </row>
    <row r="72" spans="2:20" ht="15" x14ac:dyDescent="0.2">
      <c r="B72" s="74"/>
      <c r="C72" s="111" t="s">
        <v>189</v>
      </c>
      <c r="I72"/>
      <c r="J72"/>
      <c r="Q72" s="212">
        <v>266.90000000004108</v>
      </c>
    </row>
    <row r="73" spans="2:20" ht="15" x14ac:dyDescent="0.2">
      <c r="B73" s="74"/>
      <c r="C73" s="111" t="s">
        <v>190</v>
      </c>
      <c r="I73"/>
      <c r="J73"/>
      <c r="Q73" s="212">
        <v>418.92057600454484</v>
      </c>
    </row>
    <row r="74" spans="2:20" ht="15" x14ac:dyDescent="0.2">
      <c r="B74" s="74"/>
      <c r="C74" s="111" t="s">
        <v>191</v>
      </c>
      <c r="I74"/>
      <c r="J74"/>
      <c r="Q74" s="212">
        <v>408.63794953476696</v>
      </c>
    </row>
    <row r="75" spans="2:20" ht="15" x14ac:dyDescent="0.25">
      <c r="B75" s="74"/>
      <c r="C75" s="111" t="s">
        <v>192</v>
      </c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3">
        <v>408.78360290002473</v>
      </c>
      <c r="R75" s="214"/>
      <c r="S75" s="214"/>
      <c r="T75" s="214"/>
    </row>
    <row r="76" spans="2:20" ht="15" x14ac:dyDescent="0.25">
      <c r="B76" s="74"/>
      <c r="C76" s="112" t="s">
        <v>193</v>
      </c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3">
        <v>426.99285708293951</v>
      </c>
      <c r="S76" s="214"/>
      <c r="T76" s="214"/>
    </row>
    <row r="77" spans="2:20" ht="15" x14ac:dyDescent="0.2">
      <c r="B77" s="74"/>
      <c r="C77" s="112" t="s">
        <v>194</v>
      </c>
      <c r="I77"/>
      <c r="J77"/>
      <c r="S77" s="212">
        <v>290.98</v>
      </c>
    </row>
    <row r="78" spans="2:20" ht="15" x14ac:dyDescent="0.2">
      <c r="B78" s="74"/>
      <c r="C78" s="112" t="s">
        <v>114</v>
      </c>
      <c r="I78"/>
      <c r="J78"/>
      <c r="T78" s="212">
        <v>182.89033681409401</v>
      </c>
    </row>
    <row r="79" spans="2:20" x14ac:dyDescent="0.2">
      <c r="B79" s="74"/>
      <c r="C79" s="111"/>
    </row>
    <row r="80" spans="2:20" x14ac:dyDescent="0.2">
      <c r="B80" s="74"/>
      <c r="C80" s="111"/>
    </row>
    <row r="81" spans="2:3" x14ac:dyDescent="0.2">
      <c r="B81" s="74"/>
      <c r="C81" s="111"/>
    </row>
    <row r="82" spans="2:3" x14ac:dyDescent="0.2">
      <c r="B82" s="74" t="s">
        <v>131</v>
      </c>
      <c r="C82" s="111"/>
    </row>
  </sheetData>
  <mergeCells count="1">
    <mergeCell ref="B3:B5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106"/>
  <sheetViews>
    <sheetView view="pageBreakPreview" topLeftCell="G1" zoomScale="85" zoomScaleNormal="100" zoomScaleSheetLayoutView="85" workbookViewId="0">
      <selection activeCell="V20" sqref="V20"/>
    </sheetView>
  </sheetViews>
  <sheetFormatPr defaultRowHeight="12.75" x14ac:dyDescent="0.2"/>
  <cols>
    <col min="1" max="1" width="3.5703125" customWidth="1"/>
    <col min="2" max="3" width="18.5703125" customWidth="1"/>
    <col min="4" max="7" width="8.7109375" customWidth="1"/>
    <col min="18" max="18" width="0" hidden="1" customWidth="1"/>
  </cols>
  <sheetData>
    <row r="1" spans="1:20" ht="32.25" customHeight="1" x14ac:dyDescent="0.2">
      <c r="A1" s="215"/>
      <c r="B1" s="216"/>
      <c r="C1" s="170" t="str">
        <f>Köide</f>
        <v>330/110kV Tartu-Sindi õhuliini ehitus
II ehitusetapp, Puhja - Viljandi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217" t="s">
        <v>228</v>
      </c>
      <c r="R1" s="217"/>
      <c r="S1" s="217"/>
      <c r="T1" s="217"/>
    </row>
    <row r="2" spans="1:20" ht="27" customHeight="1" thickBot="1" x14ac:dyDescent="0.25">
      <c r="A2" s="218"/>
      <c r="B2" s="219"/>
      <c r="C2" s="171" t="s">
        <v>106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</row>
    <row r="3" spans="1:20" s="44" customFormat="1" ht="39" customHeight="1" x14ac:dyDescent="0.2">
      <c r="B3" s="47" t="s">
        <v>11</v>
      </c>
      <c r="C3" s="82"/>
      <c r="D3" s="83" t="str">
        <f>Visangud!D2</f>
        <v>103Y- 109Y</v>
      </c>
      <c r="E3" s="83" t="str">
        <f>Visangud!E2</f>
        <v>109Y- 117Y</v>
      </c>
      <c r="F3" s="83" t="str">
        <f>Visangud!F2</f>
        <v>117Y- 118Y</v>
      </c>
      <c r="G3" s="83" t="str">
        <f>Visangud!G2</f>
        <v>118Y- 121Y</v>
      </c>
      <c r="H3" s="83" t="str">
        <f>Visangud!H2</f>
        <v>121Y- 126Y</v>
      </c>
      <c r="I3" s="83" t="str">
        <f>Visangud!I2</f>
        <v>126Y- 128Y</v>
      </c>
      <c r="J3" s="83" t="str">
        <f>Visangud!J2</f>
        <v>128Y- 133Y</v>
      </c>
      <c r="K3" s="83" t="str">
        <f>Visangud!K2</f>
        <v>133Y- 137Y</v>
      </c>
      <c r="L3" s="83" t="str">
        <f>Visangud!L2</f>
        <v>137Y- 144Y</v>
      </c>
      <c r="M3" s="83" t="str">
        <f>Visangud!M2</f>
        <v>144Y- 148Y</v>
      </c>
      <c r="N3" s="83" t="str">
        <f>Visangud!N2</f>
        <v>148Y- 151Y</v>
      </c>
      <c r="O3" s="83" t="str">
        <f>Visangud!O2</f>
        <v>151Y- 154Y</v>
      </c>
      <c r="P3" s="83" t="str">
        <f>Visangud!P2</f>
        <v>154Y- 156Y</v>
      </c>
      <c r="Q3" s="83" t="str">
        <f>Visangud!Q2</f>
        <v>156Y- 164Y</v>
      </c>
      <c r="R3" s="83" t="str">
        <f>Visangud!R2</f>
        <v>164Y - L507 165</v>
      </c>
      <c r="S3" s="83" t="str">
        <f>Visangud!S2</f>
        <v>164Y - L105B 165</v>
      </c>
      <c r="T3" s="83" t="str">
        <f>Visangud!T2</f>
        <v>L105B 165 - 166Y</v>
      </c>
    </row>
    <row r="4" spans="1:20" x14ac:dyDescent="0.2">
      <c r="B4" s="1" t="s">
        <v>103</v>
      </c>
      <c r="C4" s="1"/>
      <c r="D4" s="98">
        <f>Visangud!D14</f>
        <v>447.20458836298803</v>
      </c>
      <c r="E4" s="98">
        <f>Visangud!E14</f>
        <v>443.42681236767572</v>
      </c>
      <c r="F4" s="98">
        <f>Visangud!F14</f>
        <v>440.31887592980098</v>
      </c>
      <c r="G4" s="98">
        <f>Visangud!G14</f>
        <v>352.77649774332502</v>
      </c>
      <c r="H4" s="98">
        <f>Visangud!H14</f>
        <v>429.81699666990465</v>
      </c>
      <c r="I4" s="98">
        <f>Visangud!I14</f>
        <v>421.89254548697357</v>
      </c>
      <c r="J4" s="98">
        <f>Visangud!J14</f>
        <v>408.37030439381806</v>
      </c>
      <c r="K4" s="98">
        <f>Visangud!K14</f>
        <v>469.49775693170682</v>
      </c>
      <c r="L4" s="98">
        <f>Visangud!L14</f>
        <v>408.56484089595034</v>
      </c>
      <c r="M4" s="98">
        <f>Visangud!M14</f>
        <v>466.6264206472535</v>
      </c>
      <c r="N4" s="98">
        <f>Visangud!N14</f>
        <v>461.53149095186666</v>
      </c>
      <c r="O4" s="98">
        <f>Visangud!O14</f>
        <v>407.59018580213103</v>
      </c>
      <c r="P4" s="98">
        <f>Visangud!P14</f>
        <v>360.03370480776539</v>
      </c>
      <c r="Q4" s="98">
        <f>Visangud!Q14</f>
        <v>372.01845882629567</v>
      </c>
      <c r="R4" s="98">
        <f>Visangud!R14</f>
        <v>426.99285708293951</v>
      </c>
      <c r="S4" s="98">
        <f>Visangud!S14</f>
        <v>290.98</v>
      </c>
      <c r="T4" s="98">
        <f>Visangud!T14</f>
        <v>182.89033681409401</v>
      </c>
    </row>
    <row r="5" spans="1:20" s="44" customFormat="1" ht="51" x14ac:dyDescent="0.2">
      <c r="B5" s="43" t="s">
        <v>47</v>
      </c>
      <c r="C5" s="43"/>
      <c r="D5" s="60" t="str">
        <f>Visangud!D6</f>
        <v>242-Al1/39-ST1A Hawk</v>
      </c>
      <c r="E5" s="60" t="str">
        <f>Visangud!E6</f>
        <v>242-Al1/39-ST1A Hawk</v>
      </c>
      <c r="F5" s="60" t="str">
        <f>Visangud!F6</f>
        <v>242-Al1/39-ST1A Hawk</v>
      </c>
      <c r="G5" s="60" t="str">
        <f>Visangud!G6</f>
        <v>242-Al1/39-ST1A Hawk</v>
      </c>
      <c r="H5" s="60" t="str">
        <f>Visangud!H6</f>
        <v>242-Al1/39-ST1A Hawk</v>
      </c>
      <c r="I5" s="60" t="str">
        <f>Visangud!I6</f>
        <v>242-Al1/39-ST1A Hawk</v>
      </c>
      <c r="J5" s="60" t="str">
        <f>Visangud!J6</f>
        <v>242-Al1/39-ST1A Hawk</v>
      </c>
      <c r="K5" s="60" t="str">
        <f>Visangud!K6</f>
        <v>242-Al1/39-ST1A Hawk</v>
      </c>
      <c r="L5" s="60" t="str">
        <f>Visangud!L6</f>
        <v>242-Al1/39-ST1A Hawk</v>
      </c>
      <c r="M5" s="60" t="str">
        <f>Visangud!M6</f>
        <v>242-Al1/39-ST1A Hawk</v>
      </c>
      <c r="N5" s="60" t="str">
        <f>Visangud!N6</f>
        <v>242-Al1/39-ST1A Hawk</v>
      </c>
      <c r="O5" s="60" t="str">
        <f>Visangud!O6</f>
        <v>242-Al1/39-ST1A Hawk</v>
      </c>
      <c r="P5" s="60" t="str">
        <f>Visangud!P6</f>
        <v>242-Al1/39-ST1A Hawk</v>
      </c>
      <c r="Q5" s="60" t="str">
        <f>Visangud!Q6</f>
        <v>242-Al1/39-ST1A Hawk</v>
      </c>
      <c r="R5" s="60">
        <f>Visangud!R6</f>
        <v>0</v>
      </c>
      <c r="S5" s="60" t="str">
        <f>Visangud!S6</f>
        <v>242-Al1/39-ST1A Hawk</v>
      </c>
      <c r="T5" s="60" t="str">
        <f>Visangud!T6</f>
        <v>242-Al1/39-ST1A Hawk</v>
      </c>
    </row>
    <row r="6" spans="1:20" ht="13.5" thickBot="1" x14ac:dyDescent="0.25">
      <c r="B6" s="1" t="s">
        <v>35</v>
      </c>
      <c r="C6" s="1"/>
      <c r="D6" s="46">
        <f>Visangud!D3</f>
        <v>65</v>
      </c>
      <c r="E6" s="46">
        <f>Visangud!E3</f>
        <v>65</v>
      </c>
      <c r="F6" s="46">
        <f>Visangud!F3</f>
        <v>65</v>
      </c>
      <c r="G6" s="46">
        <f>Visangud!G3</f>
        <v>65</v>
      </c>
      <c r="H6" s="46">
        <f>Visangud!H3</f>
        <v>65</v>
      </c>
      <c r="I6" s="46">
        <f>Visangud!I3</f>
        <v>65</v>
      </c>
      <c r="J6" s="46">
        <f>Visangud!J3</f>
        <v>65</v>
      </c>
      <c r="K6" s="46">
        <f>Visangud!K3</f>
        <v>65</v>
      </c>
      <c r="L6" s="46">
        <f>Visangud!L3</f>
        <v>65</v>
      </c>
      <c r="M6" s="46">
        <f>Visangud!M3</f>
        <v>65</v>
      </c>
      <c r="N6" s="46">
        <f>Visangud!N3</f>
        <v>65</v>
      </c>
      <c r="O6" s="46">
        <f>Visangud!O3</f>
        <v>65</v>
      </c>
      <c r="P6" s="46">
        <f>Visangud!P3</f>
        <v>65</v>
      </c>
      <c r="Q6" s="46">
        <f>Visangud!Q3</f>
        <v>65</v>
      </c>
      <c r="R6" s="46">
        <f>Visangud!R3</f>
        <v>65</v>
      </c>
      <c r="S6" s="46">
        <f>Visangud!S3</f>
        <v>65</v>
      </c>
      <c r="T6" s="46">
        <f>Visangud!T3</f>
        <v>65</v>
      </c>
    </row>
    <row r="7" spans="1:20" ht="13.5" thickTop="1" x14ac:dyDescent="0.2">
      <c r="B7" s="25" t="s">
        <v>12</v>
      </c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0" x14ac:dyDescent="0.2">
      <c r="B8" s="1" t="s">
        <v>224</v>
      </c>
      <c r="C8" s="1"/>
    </row>
    <row r="9" spans="1:20" x14ac:dyDescent="0.2">
      <c r="B9" s="20" t="s">
        <v>2</v>
      </c>
      <c r="C9" s="20"/>
      <c r="D9" s="2" t="str">
        <f>[1]!juhe(D5,6)</f>
        <v>0,0339</v>
      </c>
      <c r="E9" s="2" t="str">
        <f>[1]!juhe(E5,6)</f>
        <v>0,0339</v>
      </c>
      <c r="F9" s="2" t="str">
        <f>[1]!juhe(F5,6)</f>
        <v>0,0339</v>
      </c>
      <c r="G9" s="2" t="str">
        <f>[1]!juhe(G5,6)</f>
        <v>0,0339</v>
      </c>
      <c r="H9" s="2" t="str">
        <f>[1]!juhe(H5,6)</f>
        <v>0,0339</v>
      </c>
      <c r="I9" s="2" t="str">
        <f>[1]!juhe(I5,6)</f>
        <v>0,0339</v>
      </c>
      <c r="J9" s="2" t="str">
        <f>[1]!juhe(J5,6)</f>
        <v>0,0339</v>
      </c>
      <c r="K9" s="2" t="str">
        <f>[1]!juhe(K5,6)</f>
        <v>0,0339</v>
      </c>
      <c r="L9" s="2" t="str">
        <f>[1]!juhe(L5,6)</f>
        <v>0,0339</v>
      </c>
      <c r="M9" s="2" t="str">
        <f>[1]!juhe(M5,6)</f>
        <v>0,0339</v>
      </c>
      <c r="N9" s="2" t="str">
        <f>[1]!juhe(N5,6)</f>
        <v>0,0339</v>
      </c>
      <c r="O9" s="2" t="str">
        <f>[1]!juhe(O5,6)</f>
        <v>0,0339</v>
      </c>
      <c r="P9" s="2" t="str">
        <f>[1]!juhe(P5,6)</f>
        <v>0,0339</v>
      </c>
      <c r="Q9" s="2" t="str">
        <f>[1]!juhe(Q5,6)</f>
        <v>0,0339</v>
      </c>
      <c r="R9" s="2">
        <f>[1]!juhe(R5,6)</f>
        <v>0</v>
      </c>
      <c r="S9" s="2" t="str">
        <f>[1]!juhe(S5,6)</f>
        <v>0,0339</v>
      </c>
      <c r="T9" s="2" t="str">
        <f>[1]!juhe(T5,6)</f>
        <v>0,0339</v>
      </c>
    </row>
    <row r="10" spans="1:20" x14ac:dyDescent="0.2">
      <c r="B10" s="20" t="s">
        <v>5</v>
      </c>
      <c r="C10" s="20"/>
      <c r="D10" s="5">
        <f>[1]!Tuulekoormus_en(D$5,QJ_1,hJ_1,zo,D4,JaideJ_1,0)</f>
        <v>4.374594382564153E-2</v>
      </c>
      <c r="E10" s="5">
        <f>[1]!Tuulekoormus_en(E$5,QJ_1,hJ_1,zo,E4,JaideJ_1,0)</f>
        <v>4.3784004402286622E-2</v>
      </c>
      <c r="F10" s="5">
        <f>[1]!Tuulekoormus_en(F$5,QJ_1,hJ_1,zo,F4,JaideJ_1,0)</f>
        <v>4.3815560345811709E-2</v>
      </c>
      <c r="G10" s="5">
        <f>[1]!Tuulekoormus_en(G$5,QJ_1,hJ_1,zo,G4,JaideJ_1,0)</f>
        <v>4.4810050903721053E-2</v>
      </c>
      <c r="H10" s="5">
        <f>[1]!Tuulekoormus_en(H$5,QJ_1,hJ_1,zo,H4,JaideJ_1,0)</f>
        <v>4.3923862126076477E-2</v>
      </c>
      <c r="I10" s="5">
        <f>[1]!Tuulekoormus_en(I$5,QJ_1,hJ_1,zo,I4,JaideJ_1,0)</f>
        <v>4.4007350263696454E-2</v>
      </c>
      <c r="J10" s="5">
        <f>[1]!Tuulekoormus_en(J$5,QJ_1,hJ_1,zo,J4,JaideJ_1,0)</f>
        <v>4.4153502691054364E-2</v>
      </c>
      <c r="K10" s="5">
        <f>[1]!Tuulekoormus_en(K$5,QJ_1,hJ_1,zo,K4,JaideJ_1,0)</f>
        <v>4.352768910096444E-2</v>
      </c>
      <c r="L10" s="5">
        <f>[1]!Tuulekoormus_en(L$5,QJ_1,hJ_1,zo,L4,JaideJ_1,0)</f>
        <v>4.4151365968716792E-2</v>
      </c>
      <c r="M10" s="5">
        <f>[1]!Tuulekoormus_en(M$5,QJ_1,hJ_1,zo,M4,JaideJ_1,0)</f>
        <v>4.3555211514651977E-2</v>
      </c>
      <c r="N10" s="5">
        <f>[1]!Tuulekoormus_en(N$5,QJ_1,hJ_1,zo,N4,JaideJ_1,0)</f>
        <v>4.3604467072971539E-2</v>
      </c>
      <c r="O10" s="5">
        <f>[1]!Tuulekoormus_en(O$5,QJ_1,hJ_1,zo,O4,JaideJ_1,0)</f>
        <v>4.4162081484072059E-2</v>
      </c>
      <c r="P10" s="5">
        <f>[1]!Tuulekoormus_en(P$5,QJ_1,hJ_1,zo,P4,JaideJ_1,0)</f>
        <v>4.4718693200384733E-2</v>
      </c>
      <c r="Q10" s="5">
        <f>[1]!Tuulekoormus_en(Q$5,QJ_1,hJ_1,zo,Q4,JaideJ_1,0)</f>
        <v>4.4571780121425944E-2</v>
      </c>
      <c r="R10" s="5" t="e">
        <f>[1]!Tuulekoormus_en(R$5,QJ_1,hJ_1,zo,R4,JaideJ_1,0)</f>
        <v>#VALUE!</v>
      </c>
      <c r="S10" s="5">
        <f>[1]!Tuulekoormus_en(S$5,QJ_1,hJ_1,zo,S4,JaideJ_1,0)</f>
        <v>4.5674055649222674E-2</v>
      </c>
      <c r="T10" s="5">
        <f>[1]!Tuulekoormus_en(T$5,QJ_1,hJ_1,zo,T4,JaideJ_1,0)</f>
        <v>4.7757426942150676E-2</v>
      </c>
    </row>
    <row r="11" spans="1:20" x14ac:dyDescent="0.2">
      <c r="B11" s="7" t="s">
        <v>0</v>
      </c>
      <c r="C11" s="7"/>
      <c r="D11" s="5">
        <f>[1]!Jaitekoormus_EN(D$5,JaideJ_1,hJ_1)</f>
        <v>2.6631613083562631E-2</v>
      </c>
      <c r="E11" s="5">
        <f>[1]!Jaitekoormus_EN(E$5,JaideJ_1,hJ_1)</f>
        <v>2.6631613083562631E-2</v>
      </c>
      <c r="F11" s="5">
        <f>[1]!Jaitekoormus_EN(F$5,JaideJ_1,hJ_1)</f>
        <v>2.6631613083562631E-2</v>
      </c>
      <c r="G11" s="5">
        <f>[1]!Jaitekoormus_EN(G$5,JaideJ_1,hJ_1)</f>
        <v>2.6631613083562631E-2</v>
      </c>
      <c r="H11" s="5">
        <f>[1]!Jaitekoormus_EN(H$5,JaideJ_1,hJ_1)</f>
        <v>2.6631613083562631E-2</v>
      </c>
      <c r="I11" s="5">
        <f>[1]!Jaitekoormus_EN(I$5,JaideJ_1,hJ_1)</f>
        <v>2.6631613083562631E-2</v>
      </c>
      <c r="J11" s="5">
        <f>[1]!Jaitekoormus_EN(J$5,JaideJ_1,hJ_1)</f>
        <v>2.6631613083562631E-2</v>
      </c>
      <c r="K11" s="5">
        <f>[1]!Jaitekoormus_EN(K$5,JaideJ_1,hJ_1)</f>
        <v>2.6631613083562631E-2</v>
      </c>
      <c r="L11" s="5">
        <f>[1]!Jaitekoormus_EN(L$5,JaideJ_1,hJ_1)</f>
        <v>2.6631613083562631E-2</v>
      </c>
      <c r="M11" s="5">
        <f>[1]!Jaitekoormus_EN(M$5,JaideJ_1,hJ_1)</f>
        <v>2.6631613083562631E-2</v>
      </c>
      <c r="N11" s="5">
        <f>[1]!Jaitekoormus_EN(N$5,JaideJ_1,hJ_1)</f>
        <v>2.6631613083562631E-2</v>
      </c>
      <c r="O11" s="5">
        <f>[1]!Jaitekoormus_EN(O$5,JaideJ_1,hJ_1)</f>
        <v>2.6631613083562631E-2</v>
      </c>
      <c r="P11" s="5">
        <f>[1]!Jaitekoormus_EN(P$5,JaideJ_1,hJ_1)</f>
        <v>2.6631613083562631E-2</v>
      </c>
      <c r="Q11" s="5">
        <f>[1]!Jaitekoormus_EN(Q$5,JaideJ_1,hJ_1)</f>
        <v>2.6631613083562631E-2</v>
      </c>
      <c r="R11" s="5" t="e">
        <f>[1]!Jaitekoormus_EN(R$5,JaideJ_1,hJ_1)</f>
        <v>#VALUE!</v>
      </c>
      <c r="S11" s="5">
        <f>[1]!Jaitekoormus_EN(S$5,JaideJ_1,hJ_1)</f>
        <v>2.6631613083562631E-2</v>
      </c>
      <c r="T11" s="5">
        <f>[1]!Jaitekoormus_EN(T$5,JaideJ_1,hJ_1)</f>
        <v>2.6631613083562631E-2</v>
      </c>
    </row>
    <row r="12" spans="1:20" x14ac:dyDescent="0.2">
      <c r="B12" s="1"/>
      <c r="C12" s="1"/>
    </row>
    <row r="13" spans="1:20" x14ac:dyDescent="0.2">
      <c r="B13" s="1" t="s">
        <v>9</v>
      </c>
      <c r="C13" s="1"/>
    </row>
    <row r="14" spans="1:20" x14ac:dyDescent="0.2">
      <c r="B14" s="2" t="s">
        <v>10</v>
      </c>
      <c r="C14" s="2"/>
      <c r="D14" s="21">
        <f t="shared" ref="D14:K14" si="0">(MATCH(S0,D26:D104,0)+2)/4</f>
        <v>5</v>
      </c>
      <c r="E14" s="21">
        <f t="shared" si="0"/>
        <v>5</v>
      </c>
      <c r="F14" s="21">
        <f t="shared" si="0"/>
        <v>5</v>
      </c>
      <c r="G14" s="21">
        <f t="shared" si="0"/>
        <v>5</v>
      </c>
      <c r="H14" s="21">
        <f t="shared" si="0"/>
        <v>5</v>
      </c>
      <c r="I14" s="21">
        <f t="shared" si="0"/>
        <v>5</v>
      </c>
      <c r="J14" s="21">
        <f t="shared" si="0"/>
        <v>5</v>
      </c>
      <c r="K14" s="21">
        <f t="shared" si="0"/>
        <v>5</v>
      </c>
      <c r="L14" s="21">
        <f t="shared" ref="L14:Q14" si="1">(MATCH(S0,L26:L104,0)+2)/4</f>
        <v>5</v>
      </c>
      <c r="M14" s="21">
        <f t="shared" si="1"/>
        <v>5</v>
      </c>
      <c r="N14" s="21">
        <f t="shared" si="1"/>
        <v>5</v>
      </c>
      <c r="O14" s="21">
        <f t="shared" si="1"/>
        <v>5</v>
      </c>
      <c r="P14" s="21">
        <f t="shared" si="1"/>
        <v>5</v>
      </c>
      <c r="Q14" s="21">
        <f t="shared" si="1"/>
        <v>5</v>
      </c>
      <c r="R14" s="21" t="e">
        <f t="shared" ref="R14:S14" si="2">(MATCH(S0,R26:R104,0)+2)/4</f>
        <v>#VALUE!</v>
      </c>
      <c r="S14" s="21">
        <f t="shared" si="2"/>
        <v>5</v>
      </c>
      <c r="T14" s="21">
        <f t="shared" ref="T14" si="3">(MATCH(S0,T26:T104,0)+2)/4</f>
        <v>2</v>
      </c>
    </row>
    <row r="15" spans="1:20" x14ac:dyDescent="0.2">
      <c r="B15" s="2" t="s">
        <v>21</v>
      </c>
      <c r="C15" s="2"/>
      <c r="D15" s="5">
        <f t="shared" ref="D15:K15" si="4">INDEX(D26:D104,4*D14-3,1)</f>
        <v>8.1202200856781828E-2</v>
      </c>
      <c r="E15" s="5">
        <f t="shared" si="4"/>
        <v>8.12185629860456E-2</v>
      </c>
      <c r="F15" s="5">
        <f t="shared" si="4"/>
        <v>8.123213708040028E-2</v>
      </c>
      <c r="G15" s="5">
        <f t="shared" si="4"/>
        <v>8.1663754643774275E-2</v>
      </c>
      <c r="H15" s="5">
        <f t="shared" si="4"/>
        <v>8.1278781227371075E-2</v>
      </c>
      <c r="I15" s="5">
        <f t="shared" si="4"/>
        <v>8.1314798744680977E-2</v>
      </c>
      <c r="J15" s="5">
        <f t="shared" si="4"/>
        <v>8.1377976309425226E-2</v>
      </c>
      <c r="K15" s="5">
        <f t="shared" si="4"/>
        <v>8.1108585163018915E-2</v>
      </c>
      <c r="L15" s="5">
        <f t="shared" ref="L15:Q15" si="5">INDEX(L26:L104,4*L14-3,1)</f>
        <v>8.1377051509772619E-2</v>
      </c>
      <c r="M15" s="5">
        <f t="shared" si="5"/>
        <v>8.1120370455495763E-2</v>
      </c>
      <c r="N15" s="5">
        <f t="shared" si="5"/>
        <v>8.1141476351023992E-2</v>
      </c>
      <c r="O15" s="5">
        <f t="shared" si="5"/>
        <v>8.1381689661073967E-2</v>
      </c>
      <c r="P15" s="5">
        <f t="shared" si="5"/>
        <v>8.1623796627285458E-2</v>
      </c>
      <c r="Q15" s="5">
        <f t="shared" si="5"/>
        <v>8.1559669946182106E-2</v>
      </c>
      <c r="R15" s="5" t="e">
        <f t="shared" ref="R15:S15" si="6">INDEX(R26:R104,4*R14-3,1)</f>
        <v>#VALUE!</v>
      </c>
      <c r="S15" s="5">
        <f t="shared" si="6"/>
        <v>8.204470347427803E-2</v>
      </c>
      <c r="T15" s="5">
        <f t="shared" ref="T15" si="7">INDEX(T26:T104,4*T14-3,1)</f>
        <v>3.39E-2</v>
      </c>
    </row>
    <row r="16" spans="1:20" x14ac:dyDescent="0.2">
      <c r="B16" s="2" t="s">
        <v>20</v>
      </c>
      <c r="C16" s="2"/>
      <c r="D16" s="2">
        <f>VLOOKUP(D14,Lähteandmed!$A24:$G81,3)</f>
        <v>-5</v>
      </c>
      <c r="E16" s="2">
        <f>VLOOKUP(E14,Lähteandmed!$A24:$G81,3)</f>
        <v>-5</v>
      </c>
      <c r="F16" s="2">
        <f>VLOOKUP(F14,Lähteandmed!$A24:$G81,3)</f>
        <v>-5</v>
      </c>
      <c r="G16" s="2">
        <f>VLOOKUP(G14,Lähteandmed!$A24:$G81,3)</f>
        <v>-5</v>
      </c>
      <c r="H16" s="2">
        <f>VLOOKUP(H14,Lähteandmed!$A24:$G81,3)</f>
        <v>-5</v>
      </c>
      <c r="I16" s="2">
        <f>VLOOKUP(I14,Lähteandmed!$A24:$G81,3)</f>
        <v>-5</v>
      </c>
      <c r="J16" s="2">
        <f>VLOOKUP(J14,Lähteandmed!$A24:$G81,3)</f>
        <v>-5</v>
      </c>
      <c r="K16" s="2">
        <f>VLOOKUP(K14,Lähteandmed!$A24:$G81,3)</f>
        <v>-5</v>
      </c>
      <c r="L16" s="2">
        <f>VLOOKUP(L14,Lähteandmed!$A24:$G81,3)</f>
        <v>-5</v>
      </c>
      <c r="M16" s="2">
        <f>VLOOKUP(M14,Lähteandmed!$A24:$G81,3)</f>
        <v>-5</v>
      </c>
      <c r="N16" s="2">
        <f>VLOOKUP(N14,Lähteandmed!$A24:$G81,3)</f>
        <v>-5</v>
      </c>
      <c r="O16" s="2">
        <f>VLOOKUP(O14,Lähteandmed!$A24:$G81,3)</f>
        <v>-5</v>
      </c>
      <c r="P16" s="2">
        <f>VLOOKUP(P14,Lähteandmed!$A24:$G81,3)</f>
        <v>-5</v>
      </c>
      <c r="Q16" s="2">
        <f>VLOOKUP(Q14,Lähteandmed!$A24:$G81,3)</f>
        <v>-5</v>
      </c>
      <c r="R16" s="2" t="e">
        <f>VLOOKUP(R14,Lähteandmed!$A24:$G81,3)</f>
        <v>#VALUE!</v>
      </c>
      <c r="S16" s="2">
        <f>VLOOKUP(S14,Lähteandmed!$A24:$G81,3)</f>
        <v>-5</v>
      </c>
      <c r="T16" s="2">
        <f>VLOOKUP(T14,Lähteandmed!$A24:$G81,3)</f>
        <v>-40</v>
      </c>
    </row>
    <row r="17" spans="1:20" ht="13.5" thickBot="1" x14ac:dyDescent="0.25">
      <c r="B17" s="23" t="s">
        <v>22</v>
      </c>
      <c r="C17" s="23"/>
      <c r="D17" s="24">
        <f t="shared" ref="D17:K17" si="8">MAX(D27,D31,D35,D39,D43,D47,D51,D55,D59,D63,D67,D71,D75,D79,D83,D87,D91,D95,D99,D103)</f>
        <v>135.29866933822632</v>
      </c>
      <c r="E17" s="24">
        <f t="shared" si="8"/>
        <v>135.10221242904663</v>
      </c>
      <c r="F17" s="24">
        <f t="shared" si="8"/>
        <v>134.93841886520386</v>
      </c>
      <c r="G17" s="24">
        <f t="shared" si="8"/>
        <v>129.34345006942749</v>
      </c>
      <c r="H17" s="24">
        <f t="shared" si="8"/>
        <v>134.36895608901978</v>
      </c>
      <c r="I17" s="24">
        <f t="shared" si="8"/>
        <v>133.9227557182312</v>
      </c>
      <c r="J17" s="24">
        <f t="shared" si="8"/>
        <v>133.12703371047974</v>
      </c>
      <c r="K17" s="24">
        <f t="shared" si="8"/>
        <v>136.39849424362183</v>
      </c>
      <c r="L17" s="24">
        <f t="shared" ref="L17:Q17" si="9">MAX(L27,L31,L35,L39,L43,L47,L51,L55,L59,L63,L67,L71,L75,L79,L83,L87,L91,L95,L99,L103)</f>
        <v>133.13871622085571</v>
      </c>
      <c r="M17" s="24">
        <f t="shared" si="9"/>
        <v>136.26235723495483</v>
      </c>
      <c r="N17" s="24">
        <f t="shared" si="9"/>
        <v>136.01678609848022</v>
      </c>
      <c r="O17" s="24">
        <f t="shared" si="9"/>
        <v>133.07970762252808</v>
      </c>
      <c r="P17" s="24">
        <f t="shared" si="9"/>
        <v>129.88847494125366</v>
      </c>
      <c r="Q17" s="24">
        <f t="shared" si="9"/>
        <v>130.75321912765503</v>
      </c>
      <c r="R17" s="24" t="e">
        <f t="shared" ref="R17:S17" si="10">MAX(R27,R31,R35,R39,R43,R47,R51,R55,R59,R63,R67,R71,R75,R79,R83,R87,R91,R95,R99,R103)</f>
        <v>#VALUE!</v>
      </c>
      <c r="S17" s="24">
        <f t="shared" si="10"/>
        <v>123.96150827407837</v>
      </c>
      <c r="T17" s="24">
        <f t="shared" ref="T17" si="11">MAX(T27,T31,T35,T39,T43,T47,T51,T55,T59,T63,T67,T71,T75,T79,T83,T87,T91,T95,T99,T103)</f>
        <v>111.0413670539856</v>
      </c>
    </row>
    <row r="18" spans="1:20" ht="13.5" thickTop="1" x14ac:dyDescent="0.2">
      <c r="B18" s="1" t="s">
        <v>42</v>
      </c>
      <c r="C18" s="1"/>
    </row>
    <row r="19" spans="1:20" x14ac:dyDescent="0.2">
      <c r="B19" s="2" t="s">
        <v>10</v>
      </c>
      <c r="C19" s="2"/>
      <c r="D19" s="21">
        <f t="shared" ref="D19:K19" si="12">(MATCH(D22,D26:D104,0)+1)/4</f>
        <v>12</v>
      </c>
      <c r="E19" s="21">
        <f t="shared" si="12"/>
        <v>12</v>
      </c>
      <c r="F19" s="21">
        <f t="shared" si="12"/>
        <v>12</v>
      </c>
      <c r="G19" s="21">
        <f t="shared" si="12"/>
        <v>12</v>
      </c>
      <c r="H19" s="21">
        <f t="shared" si="12"/>
        <v>12</v>
      </c>
      <c r="I19" s="21">
        <f t="shared" si="12"/>
        <v>12</v>
      </c>
      <c r="J19" s="21">
        <f t="shared" si="12"/>
        <v>12</v>
      </c>
      <c r="K19" s="21">
        <f t="shared" si="12"/>
        <v>12</v>
      </c>
      <c r="L19" s="21">
        <f t="shared" ref="L19:Q19" si="13">(MATCH(L22,L26:L104,0)+1)/4</f>
        <v>12</v>
      </c>
      <c r="M19" s="21">
        <f t="shared" si="13"/>
        <v>12</v>
      </c>
      <c r="N19" s="21">
        <f t="shared" si="13"/>
        <v>12</v>
      </c>
      <c r="O19" s="21">
        <f t="shared" si="13"/>
        <v>12</v>
      </c>
      <c r="P19" s="21">
        <f t="shared" si="13"/>
        <v>12</v>
      </c>
      <c r="Q19" s="21">
        <f t="shared" si="13"/>
        <v>12</v>
      </c>
      <c r="R19" s="21" t="e">
        <f t="shared" ref="R19:S19" si="14">(MATCH(R22,R26:R104,0)+1)/4</f>
        <v>#VALUE!</v>
      </c>
      <c r="S19" s="21">
        <f t="shared" si="14"/>
        <v>12</v>
      </c>
      <c r="T19" s="21">
        <f t="shared" ref="T19" si="15">(MATCH(T22,T26:T104,0)+1)/4</f>
        <v>12</v>
      </c>
    </row>
    <row r="20" spans="1:20" x14ac:dyDescent="0.2">
      <c r="B20" s="2" t="s">
        <v>21</v>
      </c>
      <c r="C20" s="2"/>
      <c r="D20" s="5">
        <f t="shared" ref="D20:K20" si="16">INDEX(D26:D104,4*D19-3,1)</f>
        <v>3.39E-2</v>
      </c>
      <c r="E20" s="5">
        <f t="shared" si="16"/>
        <v>3.39E-2</v>
      </c>
      <c r="F20" s="5">
        <f t="shared" si="16"/>
        <v>3.39E-2</v>
      </c>
      <c r="G20" s="5">
        <f t="shared" si="16"/>
        <v>3.39E-2</v>
      </c>
      <c r="H20" s="5">
        <f t="shared" si="16"/>
        <v>3.39E-2</v>
      </c>
      <c r="I20" s="5">
        <f t="shared" si="16"/>
        <v>3.39E-2</v>
      </c>
      <c r="J20" s="5">
        <f t="shared" si="16"/>
        <v>3.39E-2</v>
      </c>
      <c r="K20" s="5">
        <f t="shared" si="16"/>
        <v>3.39E-2</v>
      </c>
      <c r="L20" s="5">
        <f t="shared" ref="L20:Q20" si="17">INDEX(L26:L104,4*L19-3,1)</f>
        <v>3.39E-2</v>
      </c>
      <c r="M20" s="5">
        <f t="shared" si="17"/>
        <v>3.39E-2</v>
      </c>
      <c r="N20" s="5">
        <f t="shared" si="17"/>
        <v>3.39E-2</v>
      </c>
      <c r="O20" s="5">
        <f t="shared" si="17"/>
        <v>3.39E-2</v>
      </c>
      <c r="P20" s="5">
        <f t="shared" si="17"/>
        <v>3.39E-2</v>
      </c>
      <c r="Q20" s="5">
        <f t="shared" si="17"/>
        <v>3.39E-2</v>
      </c>
      <c r="R20" s="5" t="e">
        <f t="shared" ref="R20:S20" si="18">INDEX(R26:R104,4*R19-3,1)</f>
        <v>#VALUE!</v>
      </c>
      <c r="S20" s="5">
        <f t="shared" si="18"/>
        <v>3.39E-2</v>
      </c>
      <c r="T20" s="5">
        <f t="shared" ref="T20" si="19">INDEX(T26:T104,4*T19-3,1)</f>
        <v>3.39E-2</v>
      </c>
    </row>
    <row r="21" spans="1:20" x14ac:dyDescent="0.2">
      <c r="B21" s="2" t="s">
        <v>20</v>
      </c>
      <c r="C21" s="2"/>
      <c r="D21" s="2">
        <f>VLOOKUP(D19,Lähteandmed!$A29:$G86,3)</f>
        <v>80</v>
      </c>
      <c r="E21" s="2">
        <f>VLOOKUP(E19,Lähteandmed!$A29:$G86,3)</f>
        <v>80</v>
      </c>
      <c r="F21" s="2">
        <f>VLOOKUP(F19,Lähteandmed!$A29:$G86,3)</f>
        <v>80</v>
      </c>
      <c r="G21" s="2">
        <f>VLOOKUP(G19,Lähteandmed!$A29:$G86,3)</f>
        <v>80</v>
      </c>
      <c r="H21" s="2">
        <f>VLOOKUP(H19,Lähteandmed!$A29:$G86,3)</f>
        <v>80</v>
      </c>
      <c r="I21" s="2">
        <f>VLOOKUP(I19,Lähteandmed!$A29:$G86,3)</f>
        <v>80</v>
      </c>
      <c r="J21" s="2">
        <f>VLOOKUP(J19,Lähteandmed!$A29:$G86,3)</f>
        <v>80</v>
      </c>
      <c r="K21" s="2">
        <f>VLOOKUP(K19,Lähteandmed!$A29:$G86,3)</f>
        <v>80</v>
      </c>
      <c r="L21" s="2">
        <f>VLOOKUP(L19,Lähteandmed!$A29:$G86,3)</f>
        <v>80</v>
      </c>
      <c r="M21" s="2">
        <f>VLOOKUP(M19,Lähteandmed!$A29:$G86,3)</f>
        <v>80</v>
      </c>
      <c r="N21" s="2">
        <f>VLOOKUP(N19,Lähteandmed!$A29:$G86,3)</f>
        <v>80</v>
      </c>
      <c r="O21" s="2">
        <f>VLOOKUP(O19,Lähteandmed!$A29:$G86,3)</f>
        <v>80</v>
      </c>
      <c r="P21" s="2">
        <f>VLOOKUP(P19,Lähteandmed!$A29:$G86,3)</f>
        <v>80</v>
      </c>
      <c r="Q21" s="2">
        <f>VLOOKUP(Q19,Lähteandmed!$A29:$G86,3)</f>
        <v>80</v>
      </c>
      <c r="R21" s="2" t="e">
        <f>VLOOKUP(R19,Lähteandmed!$A29:$G86,3)</f>
        <v>#VALUE!</v>
      </c>
      <c r="S21" s="2">
        <f>VLOOKUP(S19,Lähteandmed!$A29:$G86,3)</f>
        <v>80</v>
      </c>
      <c r="T21" s="2">
        <f>VLOOKUP(T19,Lähteandmed!$A29:$G86,3)</f>
        <v>80</v>
      </c>
    </row>
    <row r="22" spans="1:20" x14ac:dyDescent="0.2">
      <c r="B22" s="52" t="s">
        <v>43</v>
      </c>
      <c r="C22" s="52"/>
      <c r="D22" s="53">
        <f t="shared" ref="D22:K22" si="20">MAX(D28,D32,D36,D40,D44,D48,D52,D56,D60,D64,D68,D72,D76,D80,D84,D88,D92,D96,D100,D104)</f>
        <v>16.253271170272782</v>
      </c>
      <c r="E22" s="53">
        <f t="shared" si="20"/>
        <v>16.024160034012592</v>
      </c>
      <c r="F22" s="53">
        <f t="shared" si="20"/>
        <v>15.836922065694397</v>
      </c>
      <c r="G22" s="53">
        <f t="shared" si="20"/>
        <v>11.034579872148615</v>
      </c>
      <c r="H22" s="53">
        <f t="shared" si="20"/>
        <v>15.21287838198357</v>
      </c>
      <c r="I22" s="53">
        <f t="shared" si="20"/>
        <v>14.750724400974038</v>
      </c>
      <c r="J22" s="53">
        <f t="shared" si="20"/>
        <v>13.979425222473333</v>
      </c>
      <c r="K22" s="53">
        <f t="shared" si="20"/>
        <v>17.640547299964457</v>
      </c>
      <c r="L22" s="53">
        <f t="shared" ref="L22:Q22" si="21">MAX(L28,L32,L36,L40,L44,L48,L52,L56,L60,L64,L68,L72,L76,L80,L84,L88,L92,L96,L100,L104)</f>
        <v>13.99033880902962</v>
      </c>
      <c r="M22" s="53">
        <f t="shared" si="21"/>
        <v>17.458492177543466</v>
      </c>
      <c r="N22" s="53">
        <f t="shared" si="21"/>
        <v>17.13789230780489</v>
      </c>
      <c r="O22" s="53">
        <f t="shared" si="21"/>
        <v>13.935563222455658</v>
      </c>
      <c r="P22" s="53">
        <f t="shared" si="21"/>
        <v>11.398542714713955</v>
      </c>
      <c r="Q22" s="53">
        <f t="shared" si="21"/>
        <v>12.012981886173005</v>
      </c>
      <c r="R22" s="53" t="e">
        <f t="shared" ref="R22:S22" si="22">MAX(R28,R32,R36,R40,R44,R48,R52,R56,R60,R64,R68,R72,R76,R80,R84,R88,R92,R96,R100,R104)</f>
        <v>#VALUE!</v>
      </c>
      <c r="S22" s="53">
        <f t="shared" si="22"/>
        <v>8.1783719947495772</v>
      </c>
      <c r="T22" s="53">
        <f t="shared" ref="T22" si="23">MAX(T28,T32,T36,T40,T44,T48,T52,T56,T60,T64,T68,T72,T76,T80,T84,T88,T92,T96,T100,T104)</f>
        <v>4.1826289350314196</v>
      </c>
    </row>
    <row r="23" spans="1:20" ht="13.5" thickBot="1" x14ac:dyDescent="0.25">
      <c r="B23" s="54" t="s">
        <v>49</v>
      </c>
      <c r="C23" s="54"/>
      <c r="D23" s="55">
        <f t="shared" ref="D23:K23" si="24">D22/D4^2*1000000</f>
        <v>81.269629451808157</v>
      </c>
      <c r="E23" s="55">
        <f t="shared" si="24"/>
        <v>81.49507694600311</v>
      </c>
      <c r="F23" s="55">
        <f t="shared" si="24"/>
        <v>81.683844986321574</v>
      </c>
      <c r="G23" s="55">
        <f t="shared" si="24"/>
        <v>88.665876956347674</v>
      </c>
      <c r="H23" s="55">
        <f t="shared" si="24"/>
        <v>82.346325174003042</v>
      </c>
      <c r="I23" s="55">
        <f t="shared" si="24"/>
        <v>82.872348277763336</v>
      </c>
      <c r="J23" s="55">
        <f t="shared" si="24"/>
        <v>83.826437119076331</v>
      </c>
      <c r="K23" s="55">
        <f t="shared" si="24"/>
        <v>80.028561683388645</v>
      </c>
      <c r="L23" s="55">
        <f t="shared" ref="L23:Q23" si="25">L22/L4^2*1000000</f>
        <v>83.812008973780095</v>
      </c>
      <c r="M23" s="55">
        <f t="shared" si="25"/>
        <v>80.180374863675169</v>
      </c>
      <c r="N23" s="55">
        <f t="shared" si="25"/>
        <v>80.455313538673593</v>
      </c>
      <c r="O23" s="55">
        <f t="shared" si="25"/>
        <v>83.88360555735818</v>
      </c>
      <c r="P23" s="55">
        <f t="shared" si="25"/>
        <v>87.935251924920379</v>
      </c>
      <c r="Q23" s="55">
        <f t="shared" si="25"/>
        <v>86.800423419958605</v>
      </c>
      <c r="R23" s="55" t="e">
        <f t="shared" ref="R23:S23" si="26">R22/R4^2*1000000</f>
        <v>#VALUE!</v>
      </c>
      <c r="S23" s="55">
        <f t="shared" si="26"/>
        <v>96.591871677225711</v>
      </c>
      <c r="T23" s="55">
        <f t="shared" ref="T23" si="27">T22/T4^2*1000000</f>
        <v>125.04542821010268</v>
      </c>
    </row>
    <row r="24" spans="1:20" ht="13.5" thickTop="1" x14ac:dyDescent="0.2">
      <c r="B24" s="52"/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x14ac:dyDescent="0.2">
      <c r="B25" s="1" t="s">
        <v>6</v>
      </c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38.25" x14ac:dyDescent="0.2">
      <c r="A26" s="172">
        <v>1</v>
      </c>
      <c r="B26" s="173" t="str">
        <f>Lähteandmed!B24</f>
        <v>Tuule piirkiirus</v>
      </c>
      <c r="C26" s="76" t="s">
        <v>222</v>
      </c>
      <c r="D26" s="6">
        <f>SQRT((kaalutegur R_1*[1]!juhe(D5,6)+jaitetegur R_1*[1]!Jaitekoormus_EN(D$5,JaideJ_1,hJ_1))^2+(tuuletegur R_1*[1]!Tuulekoormus_en(D$5,QJ_1,hJ_1,zo,D$4,JaideJ_1,jaitetegur R_1))^2)</f>
        <v>7.0000549271734436E-2</v>
      </c>
      <c r="E26" s="6">
        <f>SQRT((kaalutegur R_1*[1]!juhe(E5,6)+jaitetegur R_1*[1]!Jaitekoormus_EN(E$5,JaideJ_1,hJ_1))^2+(tuuletegur R_1*[1]!Tuulekoormus_en(E$5,QJ_1,hJ_1,zo,E$4,JaideJ_1,jaitetegur R_1))^2)</f>
        <v>7.0047173542827051E-2</v>
      </c>
      <c r="F26" s="6">
        <f>SQRT((kaalutegur R_1*[1]!juhe(F5,6)+jaitetegur R_1*[1]!Jaitekoormus_EN(F$5,JaideJ_1,hJ_1))^2+(tuuletegur R_1*[1]!Tuulekoormus_en(F$5,QJ_1,hJ_1,zo,F$4,JaideJ_1,jaitetegur R_1))^2)</f>
        <v>7.0085836826695835E-2</v>
      </c>
      <c r="G26" s="6">
        <f>SQRT((kaalutegur R_1*[1]!juhe(G5,6)+jaitetegur R_1*[1]!Jaitekoormus_EN(G$5,JaideJ_1,hJ_1))^2+(tuuletegur R_1*[1]!Tuulekoormus_en(G$5,QJ_1,hJ_1,zo,G$4,JaideJ_1,jaitetegur R_1))^2)</f>
        <v>7.1307599156810633E-2</v>
      </c>
      <c r="H26" s="6">
        <f>SQRT((kaalutegur R_1*[1]!juhe(H5,6)+jaitetegur R_1*[1]!Jaitekoormus_EN(H$5,JaideJ_1,hJ_1))^2+(tuuletegur R_1*[1]!Tuulekoormus_en(H$5,QJ_1,hJ_1,zo,H$4,JaideJ_1,jaitetegur R_1))^2)</f>
        <v>7.0218580885534329E-2</v>
      </c>
      <c r="I26" s="6">
        <f>SQRT((kaalutegur R_1*[1]!juhe(I5,6)+jaitetegur R_1*[1]!Jaitekoormus_EN(I$5,JaideJ_1,hJ_1))^2+(tuuletegur R_1*[1]!Tuulekoormus_en(I$5,QJ_1,hJ_1,zo,I$4,JaideJ_1,jaitetegur R_1))^2)</f>
        <v>7.0320963299531539E-2</v>
      </c>
      <c r="J26" s="6">
        <f>SQRT((kaalutegur R_1*[1]!juhe(J5,6)+jaitetegur R_1*[1]!Jaitekoormus_EN(J$5,JaideJ_1,hJ_1))^2+(tuuletegur R_1*[1]!Tuulekoormus_en(J$5,QJ_1,hJ_1,zo,J$4,JaideJ_1,jaitetegur R_1))^2)</f>
        <v>7.0500300196398677E-2</v>
      </c>
      <c r="K26" s="6">
        <f>SQRT((kaalutegur R_1*[1]!juhe(K5,6)+jaitetegur R_1*[1]!Jaitekoormus_EN(K$5,JaideJ_1,hJ_1))^2+(tuuletegur R_1*[1]!Tuulekoormus_en(K$5,QJ_1,hJ_1,zo,K$4,JaideJ_1,jaitetegur R_1))^2)</f>
        <v>6.9733371123169061E-2</v>
      </c>
      <c r="L26" s="6">
        <f>SQRT((kaalutegur R_1*[1]!juhe(L5,6)+jaitetegur R_1*[1]!Jaitekoormus_EN(L$5,JaideJ_1,hJ_1))^2+(tuuletegur R_1*[1]!Tuulekoormus_en(L$5,QJ_1,hJ_1,zo,L$4,JaideJ_1,jaitetegur R_1))^2)</f>
        <v>7.049767733146238E-2</v>
      </c>
      <c r="M26" s="6">
        <f>SQRT((kaalutegur R_1*[1]!juhe(M5,6)+jaitetegur R_1*[1]!Jaitekoormus_EN(M$5,JaideJ_1,hJ_1))^2+(tuuletegur R_1*[1]!Tuulekoormus_en(M$5,QJ_1,hJ_1,zo,M$4,JaideJ_1,jaitetegur R_1))^2)</f>
        <v>6.9767045531315866E-2</v>
      </c>
      <c r="N26" s="6">
        <f>SQRT((kaalutegur R_1*[1]!juhe(N5,6)+jaitetegur R_1*[1]!Jaitekoormus_EN(N$5,JaideJ_1,hJ_1))^2+(tuuletegur R_1*[1]!Tuulekoormus_en(N$5,QJ_1,hJ_1,zo,N$4,JaideJ_1,jaitetegur R_1))^2)</f>
        <v>6.9827323559527921E-2</v>
      </c>
      <c r="O26" s="6">
        <f>SQRT((kaalutegur R_1*[1]!juhe(O5,6)+jaitetegur R_1*[1]!Jaitekoormus_EN(O$5,JaideJ_1,hJ_1))^2+(tuuletegur R_1*[1]!Tuulekoormus_en(O$5,QJ_1,hJ_1,zo,O$4,JaideJ_1,jaitetegur R_1))^2)</f>
        <v>7.0510831113889214E-2</v>
      </c>
      <c r="P26" s="6">
        <f>SQRT((kaalutegur R_1*[1]!juhe(P5,6)+jaitetegur R_1*[1]!Jaitekoormus_EN(P$5,JaideJ_1,hJ_1))^2+(tuuletegur R_1*[1]!Tuulekoormus_en(P$5,QJ_1,hJ_1,zo,P$4,JaideJ_1,jaitetegur R_1))^2)</f>
        <v>7.119510223490283E-2</v>
      </c>
      <c r="Q26" s="6">
        <f>SQRT((kaalutegur R_1*[1]!juhe(Q5,6)+jaitetegur R_1*[1]!Jaitekoormus_EN(Q$5,JaideJ_1,hJ_1))^2+(tuuletegur R_1*[1]!Tuulekoormus_en(Q$5,QJ_1,hJ_1,zo,Q$4,JaideJ_1,jaitetegur R_1))^2)</f>
        <v>7.1014304355233746E-2</v>
      </c>
      <c r="R26" s="6" t="e">
        <f>SQRT((kaalutegur R_1*[1]!juhe(R5,6)+jaitetegur R_1*[1]!Jaitekoormus_EN(R$5,JaideJ_1,hJ_1))^2+(tuuletegur R_1*[1]!Tuulekoormus_en(R$5,QJ_1,hJ_1,zo,R$4,JaideJ_1,jaitetegur R_1))^2)</f>
        <v>#VALUE!</v>
      </c>
      <c r="S26" s="6">
        <f>SQRT((kaalutegur R_1*[1]!juhe(S5,6)+jaitetegur R_1*[1]!Jaitekoormus_EN(S$5,JaideJ_1,hJ_1))^2+(tuuletegur R_1*[1]!Tuulekoormus_en(S$5,QJ_1,hJ_1,zo,S$4,JaideJ_1,jaitetegur R_1))^2)</f>
        <v>7.2374055741810175E-2</v>
      </c>
      <c r="T26" s="6">
        <f>SQRT((kaalutegur R_1*[1]!juhe(T5,6)+jaitetegur R_1*[1]!Jaitekoormus_EN(T$5,JaideJ_1,hJ_1))^2+(tuuletegur R_1*[1]!Tuulekoormus_en(T$5,QJ_1,hJ_1,zo,T$4,JaideJ_1,jaitetegur R_1))^2)</f>
        <v>7.4963476327771256E-2</v>
      </c>
    </row>
    <row r="27" spans="1:20" x14ac:dyDescent="0.2">
      <c r="A27" s="172"/>
      <c r="B27" s="173"/>
      <c r="C27" s="76" t="s">
        <v>104</v>
      </c>
      <c r="D27" s="3">
        <f>[1]!Olekuvorrand(D$4,D$5,D$6,5,D$9,Lähteandmed!$C24,D26)</f>
        <v>120.58764696121216</v>
      </c>
      <c r="E27" s="3">
        <f>[1]!Olekuvorrand(E$4,E$5,E$6,5,E$9,Lähteandmed!$C24,E26)</f>
        <v>120.49561738967896</v>
      </c>
      <c r="F27" s="3">
        <f>[1]!Olekuvorrand(F$4,F$5,F$6,5,F$9,Lähteandmed!$C24,F26)</f>
        <v>120.4182505607605</v>
      </c>
      <c r="G27" s="3">
        <f>[1]!Olekuvorrand(G$4,G$5,G$6,5,G$9,Lähteandmed!$C24,G26)</f>
        <v>117.46793985366821</v>
      </c>
      <c r="H27" s="3">
        <f>[1]!Olekuvorrand(H$4,H$5,H$6,5,H$9,Lähteandmed!$C24,H26)</f>
        <v>120.14478445053101</v>
      </c>
      <c r="I27" s="3">
        <f>[1]!Olekuvorrand(I$4,I$5,I$6,5,I$9,Lähteandmed!$C24,I26)</f>
        <v>119.92579698562622</v>
      </c>
      <c r="J27" s="3">
        <f>[1]!Olekuvorrand(J$4,J$5,J$6,5,J$9,Lähteandmed!$C24,J26)</f>
        <v>119.52501535415649</v>
      </c>
      <c r="K27" s="3">
        <f>[1]!Olekuvorrand(K$4,K$5,K$6,5,K$9,Lähteandmed!$C24,K26)</f>
        <v>121.08534574508667</v>
      </c>
      <c r="L27" s="3">
        <f>[1]!Olekuvorrand(L$4,L$5,L$6,5,L$9,Lähteandmed!$C24,L26)</f>
        <v>119.53109502792358</v>
      </c>
      <c r="M27" s="3">
        <f>[1]!Olekuvorrand(M$4,M$5,M$6,5,M$9,Lähteandmed!$C24,M26)</f>
        <v>121.02526426315308</v>
      </c>
      <c r="N27" s="3">
        <f>[1]!Olekuvorrand(N$4,N$5,N$6,5,N$9,Lähteandmed!$C24,N26)</f>
        <v>120.91594934463501</v>
      </c>
      <c r="O27" s="3">
        <f>[1]!Olekuvorrand(O$4,O$5,O$6,5,O$9,Lähteandmed!$C24,O26)</f>
        <v>119.50081586837769</v>
      </c>
      <c r="P27" s="3">
        <f>[1]!Olekuvorrand(P$4,P$5,P$6,5,P$9,Lähteandmed!$C24,P26)</f>
        <v>117.7782416343689</v>
      </c>
      <c r="Q27" s="3">
        <f>[1]!Olekuvorrand(Q$4,Q$5,Q$6,5,Q$9,Lähteandmed!$C24,Q26)</f>
        <v>118.26139688491821</v>
      </c>
      <c r="R27" s="3" t="e">
        <f>[1]!Olekuvorrand(R$4,R$5,R$6,5,R$9,Lähteandmed!$C24,R26)</f>
        <v>#VALUE!</v>
      </c>
      <c r="S27" s="3">
        <f>[1]!Olekuvorrand(S$4,S$5,S$6,5,S$9,Lähteandmed!$C24,S26)</f>
        <v>114.19910192489624</v>
      </c>
      <c r="T27" s="3">
        <f>[1]!Olekuvorrand(T$4,T$5,T$6,5,T$9,Lähteandmed!$C24,T26)</f>
        <v>104.81196641921997</v>
      </c>
    </row>
    <row r="28" spans="1:20" x14ac:dyDescent="0.2">
      <c r="A28" s="73"/>
      <c r="B28" s="173"/>
      <c r="C28" s="76" t="s">
        <v>105</v>
      </c>
      <c r="D28" s="3">
        <f>[1]!ripe(D27,D$9+Lähteandmed!$E24*D11,D$4,0)</f>
        <v>7.0277999731539458</v>
      </c>
      <c r="E28" s="3">
        <f>[1]!ripe(E27,E$9+Lähteandmed!$E24*E11,E$4,0)</f>
        <v>6.9148435645523945</v>
      </c>
      <c r="F28" s="3">
        <f>[1]!ripe(F27,F$9+Lähteandmed!$E24*F11,F$4,0)</f>
        <v>6.8226329098225609</v>
      </c>
      <c r="G28" s="3">
        <f>[1]!ripe(G27,G$9+Lähteandmed!$E24*G11,G$4,0)</f>
        <v>4.4894139091920717</v>
      </c>
      <c r="H28" s="3">
        <f>[1]!ripe(H27,H$9+Lähteandmed!$E24*H11,H$4,0)</f>
        <v>6.5158632196093</v>
      </c>
      <c r="I28" s="3">
        <f>[1]!ripe(I27,I$9+Lähteandmed!$E24*I11,I$4,0)</f>
        <v>6.2892781385931835</v>
      </c>
      <c r="J28" s="3">
        <f>[1]!ripe(J27,J$9+Lähteandmed!$E24*J11,J$4,0)</f>
        <v>5.9123374090996501</v>
      </c>
      <c r="K28" s="3">
        <f>[1]!ripe(K27,K$9+Lähteandmed!$E24*K11,K$4,0)</f>
        <v>7.7140982953128763</v>
      </c>
      <c r="L28" s="3">
        <f>[1]!ripe(L27,L$9+Lähteandmed!$E24*L11,L$4,0)</f>
        <v>5.917670700155214</v>
      </c>
      <c r="M28" s="3">
        <f>[1]!ripe(M27,M$9+Lähteandmed!$E24*M11,M$4,0)</f>
        <v>7.6238145217677937</v>
      </c>
      <c r="N28" s="3">
        <f>[1]!ripe(N27,N$9+Lähteandmed!$E24*N11,N$4,0)</f>
        <v>7.4649825872774453</v>
      </c>
      <c r="O28" s="3">
        <f>[1]!ripe(O27,O$9+Lähteandmed!$E24*O11,O$4,0)</f>
        <v>5.8909627606247579</v>
      </c>
      <c r="P28" s="3">
        <f>[1]!ripe(P27,P$9+Lähteandmed!$E24*P11,P$4,0)</f>
        <v>4.6637038434276086</v>
      </c>
      <c r="Q28" s="3">
        <f>[1]!ripe(Q27,Q$9+Lähteandmed!$E24*Q11,Q$4,0)</f>
        <v>4.9590180061562359</v>
      </c>
      <c r="R28" s="3" t="e">
        <f>[1]!ripe(R27,R$9+Lähteandmed!$E24*R11,R$4,0)</f>
        <v>#VALUE!</v>
      </c>
      <c r="S28" s="3">
        <f>[1]!ripe(S27,S$9+Lähteandmed!$E24*S11,S$4,0)</f>
        <v>3.1417621386458729</v>
      </c>
      <c r="T28" s="3">
        <f>[1]!ripe(T27,T$9+Lähteandmed!$E24*T11,T$4,0)</f>
        <v>1.3523227731146061</v>
      </c>
    </row>
    <row r="29" spans="1:20" x14ac:dyDescent="0.2">
      <c r="A29" s="73"/>
      <c r="B29" s="173"/>
      <c r="C29" s="76" t="s">
        <v>49</v>
      </c>
      <c r="D29" s="50">
        <f t="shared" ref="D29:K29" si="28">D28/D$4^2*1000000</f>
        <v>35.140415347544021</v>
      </c>
      <c r="E29" s="50">
        <f t="shared" ref="E29:T29" si="29">E28/E$4^2*1000000</f>
        <v>35.167254144157468</v>
      </c>
      <c r="F29" s="50">
        <f t="shared" si="29"/>
        <v>35.189848550920829</v>
      </c>
      <c r="G29" s="50">
        <f t="shared" si="29"/>
        <v>36.073672572096903</v>
      </c>
      <c r="H29" s="50">
        <f t="shared" si="29"/>
        <v>35.269945502667817</v>
      </c>
      <c r="I29" s="50">
        <f t="shared" si="29"/>
        <v>35.334349293570995</v>
      </c>
      <c r="J29" s="50">
        <f t="shared" si="29"/>
        <v>35.452829580855102</v>
      </c>
      <c r="K29" s="50">
        <f t="shared" si="29"/>
        <v>34.995977208678418</v>
      </c>
      <c r="L29" s="50">
        <f t="shared" si="29"/>
        <v>35.451026354356408</v>
      </c>
      <c r="M29" s="50">
        <f t="shared" si="29"/>
        <v>35.013350524780748</v>
      </c>
      <c r="N29" s="50">
        <f t="shared" si="29"/>
        <v>35.045004591762037</v>
      </c>
      <c r="O29" s="50">
        <f t="shared" si="29"/>
        <v>35.460008948117384</v>
      </c>
      <c r="P29" s="50">
        <f t="shared" si="29"/>
        <v>35.97863188648126</v>
      </c>
      <c r="Q29" s="50">
        <f t="shared" si="29"/>
        <v>35.831641698969356</v>
      </c>
      <c r="R29" s="50" t="e">
        <f t="shared" si="29"/>
        <v>#VALUE!</v>
      </c>
      <c r="S29" s="50">
        <f t="shared" si="29"/>
        <v>37.106246271418307</v>
      </c>
      <c r="T29" s="50">
        <f t="shared" si="29"/>
        <v>40.429543922982297</v>
      </c>
    </row>
    <row r="30" spans="1:20" ht="38.25" x14ac:dyDescent="0.2">
      <c r="A30" s="159">
        <v>2</v>
      </c>
      <c r="B30" s="174" t="str">
        <f>Lähteandmed!B27</f>
        <v>Miinimumtemperatuur</v>
      </c>
      <c r="C30" s="77" t="s">
        <v>222</v>
      </c>
      <c r="D30" s="9">
        <f>SQRT((kaalutegur R_2*[1]!juhe(D5,6)+jaitetegur R_2*[1]!Jaitekoormus_EN(D$5,JaideJ_1,hJ_1))^2+(tuuletegur R_2*[1]!Tuulekoormus_en(D$5,QJ_1,hJ_1,zo,D$4,JaideJ_1,jaitetegur R_2))^2)</f>
        <v>3.39E-2</v>
      </c>
      <c r="E30" s="9">
        <f>SQRT((kaalutegur R_2*[1]!juhe(E5,6)+jaitetegur R_2*[1]!Jaitekoormus_EN(E$5,JaideJ_1,hJ_1))^2+(tuuletegur R_2*[1]!Tuulekoormus_en(E$5,QJ_1,hJ_1,zo,E$4,JaideJ_1,jaitetegur R_2))^2)</f>
        <v>3.39E-2</v>
      </c>
      <c r="F30" s="9">
        <f>SQRT((kaalutegur R_2*[1]!juhe(F5,6)+jaitetegur R_2*[1]!Jaitekoormus_EN(F$5,JaideJ_1,hJ_1))^2+(tuuletegur R_2*[1]!Tuulekoormus_en(F$5,QJ_1,hJ_1,zo,F$4,JaideJ_1,jaitetegur R_2))^2)</f>
        <v>3.39E-2</v>
      </c>
      <c r="G30" s="9">
        <f>SQRT((kaalutegur R_2*[1]!juhe(G5,6)+jaitetegur R_2*[1]!Jaitekoormus_EN(G$5,JaideJ_1,hJ_1))^2+(tuuletegur R_2*[1]!Tuulekoormus_en(G$5,QJ_1,hJ_1,zo,G$4,JaideJ_1,jaitetegur R_2))^2)</f>
        <v>3.39E-2</v>
      </c>
      <c r="H30" s="9">
        <f>SQRT((kaalutegur R_2*[1]!juhe(H5,6)+jaitetegur R_2*[1]!Jaitekoormus_EN(H$5,JaideJ_1,hJ_1))^2+(tuuletegur R_2*[1]!Tuulekoormus_en(H$5,QJ_1,hJ_1,zo,H$4,JaideJ_1,jaitetegur R_2))^2)</f>
        <v>3.39E-2</v>
      </c>
      <c r="I30" s="9">
        <f>SQRT((kaalutegur R_2*[1]!juhe(I5,6)+jaitetegur R_2*[1]!Jaitekoormus_EN(I$5,JaideJ_1,hJ_1))^2+(tuuletegur R_2*[1]!Tuulekoormus_en(I$5,QJ_1,hJ_1,zo,I$4,JaideJ_1,jaitetegur R_2))^2)</f>
        <v>3.39E-2</v>
      </c>
      <c r="J30" s="9">
        <f>SQRT((kaalutegur R_2*[1]!juhe(J5,6)+jaitetegur R_2*[1]!Jaitekoormus_EN(J$5,JaideJ_1,hJ_1))^2+(tuuletegur R_2*[1]!Tuulekoormus_en(J$5,QJ_1,hJ_1,zo,J$4,JaideJ_1,jaitetegur R_2))^2)</f>
        <v>3.39E-2</v>
      </c>
      <c r="K30" s="9">
        <f>SQRT((kaalutegur R_2*[1]!juhe(K5,6)+jaitetegur R_2*[1]!Jaitekoormus_EN(K$5,JaideJ_1,hJ_1))^2+(tuuletegur R_2*[1]!Tuulekoormus_en(K$5,QJ_1,hJ_1,zo,K$4,JaideJ_1,jaitetegur R_2))^2)</f>
        <v>3.39E-2</v>
      </c>
      <c r="L30" s="9">
        <f>SQRT((kaalutegur R_2*[1]!juhe(L5,6)+jaitetegur R_2*[1]!Jaitekoormus_EN(L$5,JaideJ_1,hJ_1))^2+(tuuletegur R_2*[1]!Tuulekoormus_en(L$5,QJ_1,hJ_1,zo,L$4,JaideJ_1,jaitetegur R_2))^2)</f>
        <v>3.39E-2</v>
      </c>
      <c r="M30" s="9">
        <f>SQRT((kaalutegur R_2*[1]!juhe(M5,6)+jaitetegur R_2*[1]!Jaitekoormus_EN(M$5,JaideJ_1,hJ_1))^2+(tuuletegur R_2*[1]!Tuulekoormus_en(M$5,QJ_1,hJ_1,zo,M$4,JaideJ_1,jaitetegur R_2))^2)</f>
        <v>3.39E-2</v>
      </c>
      <c r="N30" s="9">
        <f>SQRT((kaalutegur R_2*[1]!juhe(N5,6)+jaitetegur R_2*[1]!Jaitekoormus_EN(N$5,JaideJ_1,hJ_1))^2+(tuuletegur R_2*[1]!Tuulekoormus_en(N$5,QJ_1,hJ_1,zo,N$4,JaideJ_1,jaitetegur R_2))^2)</f>
        <v>3.39E-2</v>
      </c>
      <c r="O30" s="9">
        <f>SQRT((kaalutegur R_2*[1]!juhe(O5,6)+jaitetegur R_2*[1]!Jaitekoormus_EN(O$5,JaideJ_1,hJ_1))^2+(tuuletegur R_2*[1]!Tuulekoormus_en(O$5,QJ_1,hJ_1,zo,O$4,JaideJ_1,jaitetegur R_2))^2)</f>
        <v>3.39E-2</v>
      </c>
      <c r="P30" s="9">
        <f>SQRT((kaalutegur R_2*[1]!juhe(P5,6)+jaitetegur R_2*[1]!Jaitekoormus_EN(P$5,JaideJ_1,hJ_1))^2+(tuuletegur R_2*[1]!Tuulekoormus_en(P$5,QJ_1,hJ_1,zo,P$4,JaideJ_1,jaitetegur R_2))^2)</f>
        <v>3.39E-2</v>
      </c>
      <c r="Q30" s="9">
        <f>SQRT((kaalutegur R_2*[1]!juhe(Q5,6)+jaitetegur R_2*[1]!Jaitekoormus_EN(Q$5,JaideJ_1,hJ_1))^2+(tuuletegur R_2*[1]!Tuulekoormus_en(Q$5,QJ_1,hJ_1,zo,Q$4,JaideJ_1,jaitetegur R_2))^2)</f>
        <v>3.39E-2</v>
      </c>
      <c r="R30" s="9" t="e">
        <f>SQRT((kaalutegur R_2*[1]!juhe(R5,6)+jaitetegur R_2*[1]!Jaitekoormus_EN(R$5,JaideJ_1,hJ_1))^2+(tuuletegur R_2*[1]!Tuulekoormus_en(R$5,QJ_1,hJ_1,zo,R$4,JaideJ_1,jaitetegur R_2))^2)</f>
        <v>#VALUE!</v>
      </c>
      <c r="S30" s="9">
        <f>SQRT((kaalutegur R_2*[1]!juhe(S5,6)+jaitetegur R_2*[1]!Jaitekoormus_EN(S$5,JaideJ_1,hJ_1))^2+(tuuletegur R_2*[1]!Tuulekoormus_en(S$5,QJ_1,hJ_1,zo,S$4,JaideJ_1,jaitetegur R_2))^2)</f>
        <v>3.39E-2</v>
      </c>
      <c r="T30" s="9">
        <f>SQRT((kaalutegur R_2*[1]!juhe(T5,6)+jaitetegur R_2*[1]!Jaitekoormus_EN(T$5,JaideJ_1,hJ_1))^2+(tuuletegur R_2*[1]!Tuulekoormus_en(T$5,QJ_1,hJ_1,zo,T$4,JaideJ_1,jaitetegur R_2))^2)</f>
        <v>3.39E-2</v>
      </c>
    </row>
    <row r="31" spans="1:20" x14ac:dyDescent="0.2">
      <c r="A31" s="159"/>
      <c r="B31" s="174"/>
      <c r="C31" s="77" t="s">
        <v>104</v>
      </c>
      <c r="D31" s="22">
        <f>[1]!Olekuvorrand(D$4,D$5,D$6,5,D$9,Lähteandmed!$C27,D30)</f>
        <v>77.839195728302002</v>
      </c>
      <c r="E31" s="22">
        <f>[1]!Olekuvorrand(E$4,E$5,E$6,5,E$9,Lähteandmed!$C27,E30)</f>
        <v>78.057348728179932</v>
      </c>
      <c r="F31" s="22">
        <f>[1]!Olekuvorrand(F$4,F$5,F$6,5,F$9,Lähteandmed!$C27,F30)</f>
        <v>78.240692615509033</v>
      </c>
      <c r="G31" s="22">
        <f>[1]!Olekuvorrand(G$4,G$5,G$6,5,G$9,Lähteandmed!$C27,G30)</f>
        <v>85.190236568450928</v>
      </c>
      <c r="H31" s="22">
        <f>[1]!Olekuvorrand(H$4,H$5,H$6,5,H$9,Lähteandmed!$C27,H30)</f>
        <v>78.887045383453369</v>
      </c>
      <c r="I31" s="22">
        <f>[1]!Olekuvorrand(I$4,I$5,I$6,5,I$9,Lähteandmed!$C27,I30)</f>
        <v>79.403579235076904</v>
      </c>
      <c r="J31" s="22">
        <f>[1]!Olekuvorrand(J$4,J$5,J$6,5,J$9,Lähteandmed!$C27,J30)</f>
        <v>80.346882343292236</v>
      </c>
      <c r="K31" s="22">
        <f>[1]!Olekuvorrand(K$4,K$5,K$6,5,K$9,Lähteandmed!$C27,K30)</f>
        <v>76.650321483612061</v>
      </c>
      <c r="L31" s="22">
        <f>[1]!Olekuvorrand(L$4,L$5,L$6,5,L$9,Lähteandmed!$C27,L30)</f>
        <v>80.332696437835693</v>
      </c>
      <c r="M31" s="22">
        <f>[1]!Olekuvorrand(M$4,M$5,M$6,5,M$9,Lähteandmed!$C27,M30)</f>
        <v>76.794564723968506</v>
      </c>
      <c r="N31" s="22">
        <f>[1]!Olekuvorrand(N$4,N$5,N$6,5,N$9,Lähteandmed!$C27,N30)</f>
        <v>77.056705951690674</v>
      </c>
      <c r="O31" s="22">
        <f>[1]!Olekuvorrand(O$4,O$5,O$6,5,O$9,Lähteandmed!$C27,O30)</f>
        <v>80.40386438369751</v>
      </c>
      <c r="P31" s="22">
        <f>[1]!Olekuvorrand(P$4,P$5,P$6,5,P$9,Lähteandmed!$C27,P30)</f>
        <v>84.459006786346436</v>
      </c>
      <c r="Q31" s="22">
        <f>[1]!Olekuvorrand(Q$4,Q$5,Q$6,5,Q$9,Lähteandmed!$C27,Q30)</f>
        <v>83.320558071136475</v>
      </c>
      <c r="R31" s="22" t="e">
        <f>[1]!Olekuvorrand(R$4,R$5,R$6,5,R$9,Lähteandmed!$C27,R30)</f>
        <v>#VALUE!</v>
      </c>
      <c r="S31" s="22">
        <f>[1]!Olekuvorrand(S$4,S$5,S$6,5,S$9,Lähteandmed!$C27,S30)</f>
        <v>92.817008495330811</v>
      </c>
      <c r="T31" s="22">
        <f>[1]!Olekuvorrand(T$4,T$5,T$6,5,T$9,Lähteandmed!$C27,T30)</f>
        <v>111.0413670539856</v>
      </c>
    </row>
    <row r="32" spans="1:20" x14ac:dyDescent="0.2">
      <c r="A32" s="159"/>
      <c r="B32" s="174"/>
      <c r="C32" s="77" t="s">
        <v>105</v>
      </c>
      <c r="D32" s="9">
        <f>[1]!ripe(D31,D$9+Lähteandmed!$E27*D$11,D$4,0)</f>
        <v>10.887392323975019</v>
      </c>
      <c r="E32" s="9">
        <f>[1]!ripe(E31,E$9+Lähteandmed!$E27*E$11,E$4,0)</f>
        <v>10.674310081492528</v>
      </c>
      <c r="F32" s="9">
        <f>[1]!ripe(F31,F$9+Lähteandmed!$E27*F$11,F$4,0)</f>
        <v>10.500539958873658</v>
      </c>
      <c r="G32" s="9">
        <f>[1]!ripe(G31,G$9+Lähteandmed!$E27*G$11,G$4,0)</f>
        <v>6.1904066041588788</v>
      </c>
      <c r="H32" s="9">
        <f>[1]!ripe(H31,H$9+Lähteandmed!$E27*H$11,H$4,0)</f>
        <v>9.9236443477360261</v>
      </c>
      <c r="I32" s="9">
        <f>[1]!ripe(I31,I$9+Lähteandmed!$E27*I$11,I$4,0)</f>
        <v>9.4989004337208929</v>
      </c>
      <c r="J32" s="9">
        <f>[1]!ripe(J31,J$9+Lähteandmed!$E27*J$11,J$4,0)</f>
        <v>8.7952662130963954</v>
      </c>
      <c r="K32" s="9">
        <f>[1]!ripe(K31,K$9+Lähteandmed!$E27*K$11,K$4,0)</f>
        <v>12.186044900010597</v>
      </c>
      <c r="L32" s="9">
        <f>[1]!ripe(L31,L$9+Lähteandmed!$E27*L$11,L$4,0)</f>
        <v>8.8052024912618396</v>
      </c>
      <c r="M32" s="9">
        <f>[1]!ripe(M31,M$9+Lähteandmed!$E27*M$11,M$4,0)</f>
        <v>12.014836863867705</v>
      </c>
      <c r="N32" s="9">
        <f>[1]!ripe(N31,N$9+Lähteandmed!$E27*N$11,N$4,0)</f>
        <v>11.713911790463937</v>
      </c>
      <c r="O32" s="9">
        <f>[1]!ripe(O31,O$9+Lähteandmed!$E27*O$11,O$4,0)</f>
        <v>8.7554853431600144</v>
      </c>
      <c r="P32" s="9">
        <f>[1]!ripe(P31,P$9+Lähteandmed!$E27*P$11,P$4,0)</f>
        <v>6.5035436607946044</v>
      </c>
      <c r="Q32" s="9">
        <f>[1]!ripe(Q31,Q$9+Lähteandmed!$E27*Q$11,Q$4,0)</f>
        <v>7.0386037991343864</v>
      </c>
      <c r="R32" s="9" t="e">
        <f>[1]!ripe(R31,R$9+Lähteandmed!$E27*R$11,R$4,0)</f>
        <v>#VALUE!</v>
      </c>
      <c r="S32" s="9">
        <f>[1]!ripe(S31,S$9+Lähteandmed!$E27*S$11,S$4,0)</f>
        <v>3.8655244390153869</v>
      </c>
      <c r="T32" s="9">
        <f>[1]!ripe(T31,T$9+Lähteandmed!$E27*T$11,T$4,0)</f>
        <v>1.2764577098075909</v>
      </c>
    </row>
    <row r="33" spans="1:20" x14ac:dyDescent="0.2">
      <c r="A33" s="72"/>
      <c r="B33" s="174"/>
      <c r="C33" s="77" t="s">
        <v>49</v>
      </c>
      <c r="D33" s="51">
        <f t="shared" ref="D33:K33" si="30">D32/D$4^2*1000000</f>
        <v>54.4391544690545</v>
      </c>
      <c r="E33" s="51">
        <f t="shared" ref="E33:T33" si="31">E32/E$4^2*1000000</f>
        <v>54.287009090666125</v>
      </c>
      <c r="F33" s="51">
        <f t="shared" si="31"/>
        <v>54.159796626851865</v>
      </c>
      <c r="G33" s="51">
        <f t="shared" si="31"/>
        <v>49.741615596936867</v>
      </c>
      <c r="H33" s="51">
        <f t="shared" si="31"/>
        <v>53.716043989255809</v>
      </c>
      <c r="I33" s="51">
        <f t="shared" si="31"/>
        <v>53.366611943962155</v>
      </c>
      <c r="J33" s="51">
        <f t="shared" si="31"/>
        <v>52.740067522405468</v>
      </c>
      <c r="K33" s="51">
        <f t="shared" si="31"/>
        <v>55.283525469700514</v>
      </c>
      <c r="L33" s="51">
        <f t="shared" si="31"/>
        <v>52.749380861118347</v>
      </c>
      <c r="M33" s="51">
        <f t="shared" si="31"/>
        <v>55.179686417018331</v>
      </c>
      <c r="N33" s="51">
        <f t="shared" si="31"/>
        <v>54.991969195473075</v>
      </c>
      <c r="O33" s="51">
        <f t="shared" si="31"/>
        <v>52.702690753495482</v>
      </c>
      <c r="P33" s="51">
        <f t="shared" si="31"/>
        <v>50.172268905783895</v>
      </c>
      <c r="Q33" s="51">
        <f t="shared" si="31"/>
        <v>50.857796660245072</v>
      </c>
      <c r="R33" s="51" t="e">
        <f t="shared" si="31"/>
        <v>#VALUE!</v>
      </c>
      <c r="S33" s="51">
        <f t="shared" si="31"/>
        <v>45.654347933581256</v>
      </c>
      <c r="T33" s="51">
        <f t="shared" si="31"/>
        <v>38.161453811531615</v>
      </c>
    </row>
    <row r="34" spans="1:20" ht="38.25" x14ac:dyDescent="0.2">
      <c r="A34" s="172">
        <v>3</v>
      </c>
      <c r="B34" s="173" t="str">
        <f>Lähteandmed!B30</f>
        <v>Mõõdukas tuul</v>
      </c>
      <c r="C34" s="76" t="s">
        <v>222</v>
      </c>
      <c r="D34" s="6">
        <f>SQRT((kaalutegur R_3*[1]!juhe(D5,6)+jaitetegur R_3*[1]!Jaitekoormus_EN(D$5,JaideJ_1,hJ_1))^2+(tuuletegur R_3*[1]!Tuulekoormus_en(D$5,QJ_1,hJ_1,zo,D$4,JaideJ_1,jaitetegur R_3))^2)</f>
        <v>4.18252161229936E-2</v>
      </c>
      <c r="E34" s="6">
        <f>SQRT((kaalutegur R_3*[1]!juhe(E5,6)+jaitetegur R_3*[1]!Jaitekoormus_EN(E$5,JaideJ_1,hJ_1))^2+(tuuletegur R_3*[1]!Tuulekoormus_en(E$5,QJ_1,hJ_1,zo,E$4,JaideJ_1,jaitetegur R_3))^2)</f>
        <v>4.1837703610669512E-2</v>
      </c>
      <c r="F34" s="6">
        <f>SQRT((kaalutegur R_3*[1]!juhe(F5,6)+jaitetegur R_3*[1]!Jaitekoormus_EN(F$5,JaideJ_1,hJ_1))^2+(tuuletegur R_3*[1]!Tuulekoormus_en(F$5,QJ_1,hJ_1,zo,F$4,JaideJ_1,jaitetegur R_3))^2)</f>
        <v>4.1848062366036949E-2</v>
      </c>
      <c r="G34" s="6">
        <f>SQRT((kaalutegur R_3*[1]!juhe(G5,6)+jaitetegur R_3*[1]!Jaitekoormus_EN(G$5,JaideJ_1,hJ_1))^2+(tuuletegur R_3*[1]!Tuulekoormus_en(G$5,QJ_1,hJ_1,zo,G$4,JaideJ_1,jaitetegur R_3))^2)</f>
        <v>4.217701022596719E-2</v>
      </c>
      <c r="H34" s="6">
        <f>SQRT((kaalutegur R_3*[1]!juhe(H5,6)+jaitetegur R_3*[1]!Jaitekoormus_EN(H$5,JaideJ_1,hJ_1))^2+(tuuletegur R_3*[1]!Tuulekoormus_en(H$5,QJ_1,hJ_1,zo,H$4,JaideJ_1,jaitetegur R_3))^2)</f>
        <v>4.1883651419766785E-2</v>
      </c>
      <c r="I34" s="6">
        <f>SQRT((kaalutegur R_3*[1]!juhe(I5,6)+jaitetegur R_3*[1]!Jaitekoormus_EN(I$5,JaideJ_1,hJ_1))^2+(tuuletegur R_3*[1]!Tuulekoormus_en(I$5,QJ_1,hJ_1,zo,I$4,JaideJ_1,jaitetegur R_3))^2)</f>
        <v>4.1911125738875711E-2</v>
      </c>
      <c r="J34" s="6">
        <f>SQRT((kaalutegur R_3*[1]!juhe(J5,6)+jaitetegur R_3*[1]!Jaitekoormus_EN(J$5,JaideJ_1,hJ_1))^2+(tuuletegur R_3*[1]!Tuulekoormus_en(J$5,QJ_1,hJ_1,zo,J$4,JaideJ_1,jaitetegur R_3))^2)</f>
        <v>4.1959303765019426E-2</v>
      </c>
      <c r="K34" s="6">
        <f>SQRT((kaalutegur R_3*[1]!juhe(K5,6)+jaitetegur R_3*[1]!Jaitekoormus_EN(K$5,JaideJ_1,hJ_1))^2+(tuuletegur R_3*[1]!Tuulekoormus_en(K$5,QJ_1,hJ_1,zo,K$4,JaideJ_1,jaitetegur R_3))^2)</f>
        <v>4.1753745792590398E-2</v>
      </c>
      <c r="L34" s="6">
        <f>SQRT((kaalutegur R_3*[1]!juhe(L5,6)+jaitetegur R_3*[1]!Jaitekoormus_EN(L$5,JaideJ_1,hJ_1))^2+(tuuletegur R_3*[1]!Tuulekoormus_en(L$5,QJ_1,hJ_1,zo,L$4,JaideJ_1,jaitetegur R_3))^2)</f>
        <v>4.1958598659404218E-2</v>
      </c>
      <c r="M34" s="6">
        <f>SQRT((kaalutegur R_3*[1]!juhe(M5,6)+jaitetegur R_3*[1]!Jaitekoormus_EN(M$5,JaideJ_1,hJ_1))^2+(tuuletegur R_3*[1]!Tuulekoormus_en(M$5,QJ_1,hJ_1,zo,M$4,JaideJ_1,jaitetegur R_3))^2)</f>
        <v>4.1762745392837766E-2</v>
      </c>
      <c r="N34" s="6">
        <f>SQRT((kaalutegur R_3*[1]!juhe(N5,6)+jaitetegur R_3*[1]!Jaitekoormus_EN(N$5,JaideJ_1,hJ_1))^2+(tuuletegur R_3*[1]!Tuulekoormus_en(N$5,QJ_1,hJ_1,zo,N$4,JaideJ_1,jaitetegur R_3))^2)</f>
        <v>4.1778860904504334E-2</v>
      </c>
      <c r="O34" s="6">
        <f>SQRT((kaalutegur R_3*[1]!juhe(O5,6)+jaitetegur R_3*[1]!Jaitekoormus_EN(O$5,JaideJ_1,hJ_1))^2+(tuuletegur R_3*[1]!Tuulekoormus_en(O$5,QJ_1,hJ_1,zo,O$4,JaideJ_1,jaitetegur R_3))^2)</f>
        <v>4.1962134939721847E-2</v>
      </c>
      <c r="P34" s="6">
        <f>SQRT((kaalutegur R_3*[1]!juhe(P5,6)+jaitetegur R_3*[1]!Jaitekoormus_EN(P$5,JaideJ_1,hJ_1))^2+(tuuletegur R_3*[1]!Tuulekoormus_en(P$5,QJ_1,hJ_1,zo,P$4,JaideJ_1,jaitetegur R_3))^2)</f>
        <v>4.2146591951878178E-2</v>
      </c>
      <c r="Q34" s="6">
        <f>SQRT((kaalutegur R_3*[1]!juhe(Q5,6)+jaitetegur R_3*[1]!Jaitekoormus_EN(Q$5,JaideJ_1,hJ_1))^2+(tuuletegur R_3*[1]!Tuulekoormus_en(Q$5,QJ_1,hJ_1,zo,Q$4,JaideJ_1,jaitetegur R_3))^2)</f>
        <v>4.2097760364290679E-2</v>
      </c>
      <c r="R34" s="6" t="e">
        <f>SQRT((kaalutegur R_3*[1]!juhe(R5,6)+jaitetegur R_3*[1]!Jaitekoormus_EN(R$5,JaideJ_1,hJ_1))^2+(tuuletegur R_3*[1]!Tuulekoormus_en(R$5,QJ_1,hJ_1,zo,R$4,JaideJ_1,jaitetegur R_3))^2)</f>
        <v>#VALUE!</v>
      </c>
      <c r="S34" s="6">
        <f>SQRT((kaalutegur R_3*[1]!juhe(S5,6)+jaitetegur R_3*[1]!Jaitekoormus_EN(S$5,JaideJ_1,hJ_1))^2+(tuuletegur R_3*[1]!Tuulekoormus_en(S$5,QJ_1,hJ_1,zo,S$4,JaideJ_1,jaitetegur R_3))^2)</f>
        <v>4.2466657875596753E-2</v>
      </c>
      <c r="T34" s="6">
        <f>SQRT((kaalutegur R_3*[1]!juhe(T5,6)+jaitetegur R_3*[1]!Jaitekoormus_EN(T$5,JaideJ_1,hJ_1))^2+(tuuletegur R_3*[1]!Tuulekoormus_en(T$5,QJ_1,hJ_1,zo,T$4,JaideJ_1,jaitetegur R_3))^2)</f>
        <v>4.3179393757938431E-2</v>
      </c>
    </row>
    <row r="35" spans="1:20" x14ac:dyDescent="0.2">
      <c r="A35" s="172"/>
      <c r="B35" s="173"/>
      <c r="C35" s="76" t="s">
        <v>104</v>
      </c>
      <c r="D35" s="3">
        <f>[1]!Olekuvorrand(D$4,D$5,D$6,5,D$9,Lähteandmed!$C30,D34)</f>
        <v>82.884728908538818</v>
      </c>
      <c r="E35" s="3">
        <f>[1]!Olekuvorrand(E$4,E$5,E$6,5,E$9,Lähteandmed!$C30,E34)</f>
        <v>82.942664623260498</v>
      </c>
      <c r="F35" s="3">
        <f>[1]!Olekuvorrand(F$4,F$5,F$6,5,F$9,Lähteandmed!$C30,F34)</f>
        <v>82.990944385528564</v>
      </c>
      <c r="G35" s="3">
        <f>[1]!Olekuvorrand(G$4,G$5,G$6,5,G$9,Lähteandmed!$C30,G34)</f>
        <v>84.611117839813232</v>
      </c>
      <c r="H35" s="3">
        <f>[1]!Olekuvorrand(H$4,H$5,H$6,5,H$9,Lähteandmed!$C30,H34)</f>
        <v>83.158314228057861</v>
      </c>
      <c r="I35" s="3">
        <f>[1]!Olekuvorrand(I$4,I$5,I$6,5,I$9,Lähteandmed!$C30,I34)</f>
        <v>83.288848400115967</v>
      </c>
      <c r="J35" s="3">
        <f>[1]!Olekuvorrand(J$4,J$5,J$6,5,J$9,Lähteandmed!$C30,J34)</f>
        <v>83.520948886871338</v>
      </c>
      <c r="K35" s="3">
        <f>[1]!Olekuvorrand(K$4,K$5,K$6,5,K$9,Lähteandmed!$C30,K34)</f>
        <v>82.558214664459229</v>
      </c>
      <c r="L35" s="3">
        <f>[1]!Olekuvorrand(L$4,L$5,L$6,5,L$9,Lähteandmed!$C30,L34)</f>
        <v>83.517491817474365</v>
      </c>
      <c r="M35" s="3">
        <f>[1]!Olekuvorrand(M$4,M$5,M$6,5,M$9,Lähteandmed!$C30,M34)</f>
        <v>82.598745822906494</v>
      </c>
      <c r="N35" s="3">
        <f>[1]!Olekuvorrand(N$4,N$5,N$6,5,N$9,Lähteandmed!$C30,N34)</f>
        <v>82.671821117401123</v>
      </c>
      <c r="O35" s="3">
        <f>[1]!Olekuvorrand(O$4,O$5,O$6,5,O$9,Lähteandmed!$C30,O34)</f>
        <v>83.534657955169678</v>
      </c>
      <c r="P35" s="3">
        <f>[1]!Olekuvorrand(P$4,P$5,P$6,5,P$9,Lähteandmed!$C30,P34)</f>
        <v>84.455192089080811</v>
      </c>
      <c r="Q35" s="3">
        <f>[1]!Olekuvorrand(Q$4,Q$5,Q$6,5,Q$9,Lähteandmed!$C30,Q34)</f>
        <v>84.207117557525635</v>
      </c>
      <c r="R35" s="3" t="e">
        <f>[1]!Olekuvorrand(R$4,R$5,R$6,5,R$9,Lähteandmed!$C30,R34)</f>
        <v>#VALUE!</v>
      </c>
      <c r="S35" s="3">
        <f>[1]!Olekuvorrand(S$4,S$5,S$6,5,S$9,Lähteandmed!$C30,S34)</f>
        <v>86.130440235137939</v>
      </c>
      <c r="T35" s="3">
        <f>[1]!Olekuvorrand(T$4,T$5,T$6,5,T$9,Lähteandmed!$C30,T34)</f>
        <v>89.644134044647217</v>
      </c>
    </row>
    <row r="36" spans="1:20" x14ac:dyDescent="0.2">
      <c r="A36" s="172"/>
      <c r="B36" s="173"/>
      <c r="C36" s="76" t="s">
        <v>105</v>
      </c>
      <c r="D36" s="3">
        <f>[1]!ripe(D35,D$9+Lähteandmed!$E30*D$11,D$4,0)</f>
        <v>10.224632127491921</v>
      </c>
      <c r="E36" s="3">
        <f>[1]!ripe(E35,E$9+Lähteandmed!$E30*E$11,E$4,0)</f>
        <v>10.045594125150926</v>
      </c>
      <c r="F36" s="3">
        <f>[1]!ripe(F35,F$9+Lähteandmed!$E30*F$11,F$4,0)</f>
        <v>9.89950801623079</v>
      </c>
      <c r="G36" s="3">
        <f>[1]!ripe(G35,G$9+Lähteandmed!$E30*G$11,G$4,0)</f>
        <v>6.2327766909025382</v>
      </c>
      <c r="H36" s="3">
        <f>[1]!ripe(H35,H$9+Lähteandmed!$E30*H$11,H$4,0)</f>
        <v>9.4139352065528943</v>
      </c>
      <c r="I36" s="3">
        <f>[1]!ripe(I35,I$9+Lähteandmed!$E30*I$11,I$4,0)</f>
        <v>9.0557944757705773</v>
      </c>
      <c r="J36" s="3">
        <f>[1]!ripe(J35,J$9+Lähteandmed!$E30*J$11,J$4,0)</f>
        <v>8.4610176131831683</v>
      </c>
      <c r="K36" s="3">
        <f>[1]!ripe(K35,K$9+Lähteandmed!$E30*K$11,K$4,0)</f>
        <v>11.31400749151195</v>
      </c>
      <c r="L36" s="3">
        <f>[1]!ripe(L35,L$9+Lähteandmed!$E30*L$11,L$4,0)</f>
        <v>8.4694312941066325</v>
      </c>
      <c r="M36" s="3">
        <f>[1]!ripe(M35,M$9+Lähteandmed!$E30*M$11,M$4,0)</f>
        <v>11.170559044182641</v>
      </c>
      <c r="N36" s="3">
        <f>[1]!ripe(N35,N$9+Lähteandmed!$E30*N$11,N$4,0)</f>
        <v>10.918296514842726</v>
      </c>
      <c r="O36" s="3">
        <f>[1]!ripe(O35,O$9+Lähteandmed!$E30*O$11,O$4,0)</f>
        <v>8.4273387044056527</v>
      </c>
      <c r="P36" s="3">
        <f>[1]!ripe(P35,P$9+Lähteandmed!$E30*P$11,P$4,0)</f>
        <v>6.503837414791322</v>
      </c>
      <c r="Q36" s="3">
        <f>[1]!ripe(Q35,Q$9+Lähteandmed!$E30*Q$11,Q$4,0)</f>
        <v>6.9644991254434183</v>
      </c>
      <c r="R36" s="3" t="e">
        <f>[1]!ripe(R35,R$9+Lähteandmed!$E30*R$11,R$4,0)</f>
        <v>#VALUE!</v>
      </c>
      <c r="S36" s="3">
        <f>[1]!ripe(S35,S$9+Lähteandmed!$E30*S$11,S$4,0)</f>
        <v>4.1656168680376586</v>
      </c>
      <c r="T36" s="3">
        <f>[1]!ripe(T35,T$9+Lähteandmed!$E30*T$11,T$4,0)</f>
        <v>1.5811364635754213</v>
      </c>
    </row>
    <row r="37" spans="1:20" x14ac:dyDescent="0.2">
      <c r="A37" s="73"/>
      <c r="B37" s="173"/>
      <c r="C37" s="76" t="s">
        <v>49</v>
      </c>
      <c r="D37" s="50">
        <f t="shared" ref="D37:K37" si="32">D36/D$4^2*1000000</f>
        <v>51.12521999892131</v>
      </c>
      <c r="E37" s="50">
        <f t="shared" ref="E37:T37" si="33">E36/E$4^2*1000000</f>
        <v>51.089508870343586</v>
      </c>
      <c r="F37" s="50">
        <f t="shared" si="33"/>
        <v>51.059787683762146</v>
      </c>
      <c r="G37" s="50">
        <f t="shared" si="33"/>
        <v>50.082070869486508</v>
      </c>
      <c r="H37" s="50">
        <f t="shared" si="33"/>
        <v>50.957021427573082</v>
      </c>
      <c r="I37" s="50">
        <f t="shared" si="33"/>
        <v>50.877159204353937</v>
      </c>
      <c r="J37" s="50">
        <f t="shared" si="33"/>
        <v>50.735774155771026</v>
      </c>
      <c r="K37" s="50">
        <f t="shared" si="33"/>
        <v>51.327418079744596</v>
      </c>
      <c r="L37" s="50">
        <f t="shared" si="33"/>
        <v>50.737874279809105</v>
      </c>
      <c r="M37" s="50">
        <f t="shared" si="33"/>
        <v>51.302231744357137</v>
      </c>
      <c r="N37" s="50">
        <f t="shared" si="33"/>
        <v>51.25688466427254</v>
      </c>
      <c r="O37" s="50">
        <f t="shared" si="33"/>
        <v>50.727447789085666</v>
      </c>
      <c r="P37" s="50">
        <f t="shared" si="33"/>
        <v>50.174535101766303</v>
      </c>
      <c r="Q37" s="50">
        <f t="shared" si="33"/>
        <v>50.322349498605924</v>
      </c>
      <c r="R37" s="50" t="e">
        <f t="shared" si="33"/>
        <v>#VALUE!</v>
      </c>
      <c r="S37" s="50">
        <f t="shared" si="33"/>
        <v>49.198633937450388</v>
      </c>
      <c r="T37" s="50">
        <f t="shared" si="33"/>
        <v>47.270243002063197</v>
      </c>
    </row>
    <row r="38" spans="1:20" ht="38.25" x14ac:dyDescent="0.2">
      <c r="A38" s="159">
        <v>4</v>
      </c>
      <c r="B38" s="174" t="str">
        <f>Lähteandmed!B33</f>
        <v>Piirjäitekoormus</v>
      </c>
      <c r="C38" s="77" t="s">
        <v>222</v>
      </c>
      <c r="D38" s="9">
        <f>SQRT((kaalutegur R_4*[1]!juhe(D5,6)+jaitetegur R_4*[1]!Jaitekoormus_EN(D$5,JaideJ_1,hJ_1))^2+(tuuletegur R_4*[1]!Tuulekoormus_en(D$5,QJ_1,hJ_1,zo,D$4,JaideJ_1,jaitetegur R_4))^2)</f>
        <v>7.1184258316987686E-2</v>
      </c>
      <c r="E38" s="9">
        <f>SQRT((kaalutegur R_4*[1]!juhe(E5,6)+jaitetegur R_4*[1]!Jaitekoormus_EN(E$5,JaideJ_1,hJ_1))^2+(tuuletegur R_4*[1]!Tuulekoormus_en(E$5,QJ_1,hJ_1,zo,E$4,JaideJ_1,jaitetegur R_4))^2)</f>
        <v>7.1184258316987686E-2</v>
      </c>
      <c r="F38" s="9">
        <f>SQRT((kaalutegur R_4*[1]!juhe(F5,6)+jaitetegur R_4*[1]!Jaitekoormus_EN(F$5,JaideJ_1,hJ_1))^2+(tuuletegur R_4*[1]!Tuulekoormus_en(F$5,QJ_1,hJ_1,zo,F$4,JaideJ_1,jaitetegur R_4))^2)</f>
        <v>7.1184258316987686E-2</v>
      </c>
      <c r="G38" s="9">
        <f>SQRT((kaalutegur R_4*[1]!juhe(G5,6)+jaitetegur R_4*[1]!Jaitekoormus_EN(G$5,JaideJ_1,hJ_1))^2+(tuuletegur R_4*[1]!Tuulekoormus_en(G$5,QJ_1,hJ_1,zo,G$4,JaideJ_1,jaitetegur R_4))^2)</f>
        <v>7.1184258316987686E-2</v>
      </c>
      <c r="H38" s="9">
        <f>SQRT((kaalutegur R_4*[1]!juhe(H5,6)+jaitetegur R_4*[1]!Jaitekoormus_EN(H$5,JaideJ_1,hJ_1))^2+(tuuletegur R_4*[1]!Tuulekoormus_en(H$5,QJ_1,hJ_1,zo,H$4,JaideJ_1,jaitetegur R_4))^2)</f>
        <v>7.1184258316987686E-2</v>
      </c>
      <c r="I38" s="9">
        <f>SQRT((kaalutegur R_4*[1]!juhe(I5,6)+jaitetegur R_4*[1]!Jaitekoormus_EN(I$5,JaideJ_1,hJ_1))^2+(tuuletegur R_4*[1]!Tuulekoormus_en(I$5,QJ_1,hJ_1,zo,I$4,JaideJ_1,jaitetegur R_4))^2)</f>
        <v>7.1184258316987686E-2</v>
      </c>
      <c r="J38" s="9">
        <f>SQRT((kaalutegur R_4*[1]!juhe(J5,6)+jaitetegur R_4*[1]!Jaitekoormus_EN(J$5,JaideJ_1,hJ_1))^2+(tuuletegur R_4*[1]!Tuulekoormus_en(J$5,QJ_1,hJ_1,zo,J$4,JaideJ_1,jaitetegur R_4))^2)</f>
        <v>7.1184258316987686E-2</v>
      </c>
      <c r="K38" s="9">
        <f>SQRT((kaalutegur R_4*[1]!juhe(K5,6)+jaitetegur R_4*[1]!Jaitekoormus_EN(K$5,JaideJ_1,hJ_1))^2+(tuuletegur R_4*[1]!Tuulekoormus_en(K$5,QJ_1,hJ_1,zo,K$4,JaideJ_1,jaitetegur R_4))^2)</f>
        <v>7.1184258316987686E-2</v>
      </c>
      <c r="L38" s="9">
        <f>SQRT((kaalutegur R_4*[1]!juhe(L5,6)+jaitetegur R_4*[1]!Jaitekoormus_EN(L$5,JaideJ_1,hJ_1))^2+(tuuletegur R_4*[1]!Tuulekoormus_en(L$5,QJ_1,hJ_1,zo,L$4,JaideJ_1,jaitetegur R_4))^2)</f>
        <v>7.1184258316987686E-2</v>
      </c>
      <c r="M38" s="9">
        <f>SQRT((kaalutegur R_4*[1]!juhe(M5,6)+jaitetegur R_4*[1]!Jaitekoormus_EN(M$5,JaideJ_1,hJ_1))^2+(tuuletegur R_4*[1]!Tuulekoormus_en(M$5,QJ_1,hJ_1,zo,M$4,JaideJ_1,jaitetegur R_4))^2)</f>
        <v>7.1184258316987686E-2</v>
      </c>
      <c r="N38" s="9">
        <f>SQRT((kaalutegur R_4*[1]!juhe(N5,6)+jaitetegur R_4*[1]!Jaitekoormus_EN(N$5,JaideJ_1,hJ_1))^2+(tuuletegur R_4*[1]!Tuulekoormus_en(N$5,QJ_1,hJ_1,zo,N$4,JaideJ_1,jaitetegur R_4))^2)</f>
        <v>7.1184258316987686E-2</v>
      </c>
      <c r="O38" s="9">
        <f>SQRT((kaalutegur R_4*[1]!juhe(O5,6)+jaitetegur R_4*[1]!Jaitekoormus_EN(O$5,JaideJ_1,hJ_1))^2+(tuuletegur R_4*[1]!Tuulekoormus_en(O$5,QJ_1,hJ_1,zo,O$4,JaideJ_1,jaitetegur R_4))^2)</f>
        <v>7.1184258316987686E-2</v>
      </c>
      <c r="P38" s="9">
        <f>SQRT((kaalutegur R_4*[1]!juhe(P5,6)+jaitetegur R_4*[1]!Jaitekoormus_EN(P$5,JaideJ_1,hJ_1))^2+(tuuletegur R_4*[1]!Tuulekoormus_en(P$5,QJ_1,hJ_1,zo,P$4,JaideJ_1,jaitetegur R_4))^2)</f>
        <v>7.1184258316987686E-2</v>
      </c>
      <c r="Q38" s="9">
        <f>SQRT((kaalutegur R_4*[1]!juhe(Q5,6)+jaitetegur R_4*[1]!Jaitekoormus_EN(Q$5,JaideJ_1,hJ_1))^2+(tuuletegur R_4*[1]!Tuulekoormus_en(Q$5,QJ_1,hJ_1,zo,Q$4,JaideJ_1,jaitetegur R_4))^2)</f>
        <v>7.1184258316987686E-2</v>
      </c>
      <c r="R38" s="9" t="e">
        <f>SQRT((kaalutegur R_4*[1]!juhe(R5,6)+jaitetegur R_4*[1]!Jaitekoormus_EN(R$5,JaideJ_1,hJ_1))^2+(tuuletegur R_4*[1]!Tuulekoormus_en(R$5,QJ_1,hJ_1,zo,R$4,JaideJ_1,jaitetegur R_4))^2)</f>
        <v>#VALUE!</v>
      </c>
      <c r="S38" s="9">
        <f>SQRT((kaalutegur R_4*[1]!juhe(S5,6)+jaitetegur R_4*[1]!Jaitekoormus_EN(S$5,JaideJ_1,hJ_1))^2+(tuuletegur R_4*[1]!Tuulekoormus_en(S$5,QJ_1,hJ_1,zo,S$4,JaideJ_1,jaitetegur R_4))^2)</f>
        <v>7.1184258316987686E-2</v>
      </c>
      <c r="T38" s="9">
        <f>SQRT((kaalutegur R_4*[1]!juhe(T5,6)+jaitetegur R_4*[1]!Jaitekoormus_EN(T$5,JaideJ_1,hJ_1))^2+(tuuletegur R_4*[1]!Tuulekoormus_en(T$5,QJ_1,hJ_1,zo,T$4,JaideJ_1,jaitetegur R_4))^2)</f>
        <v>7.1184258316987686E-2</v>
      </c>
    </row>
    <row r="39" spans="1:20" x14ac:dyDescent="0.2">
      <c r="A39" s="159"/>
      <c r="B39" s="174"/>
      <c r="C39" s="77" t="s">
        <v>104</v>
      </c>
      <c r="D39" s="22">
        <f>[1]!Olekuvorrand(D$4,D$5,D$6,5,D$9,Lähteandmed!$C33,D38)</f>
        <v>122.17360734939575</v>
      </c>
      <c r="E39" s="22">
        <f>[1]!Olekuvorrand(E$4,E$5,E$6,5,E$9,Lähteandmed!$C33,E38)</f>
        <v>122.0126748085022</v>
      </c>
      <c r="F39" s="22">
        <f>[1]!Olekuvorrand(F$4,F$5,F$6,5,F$9,Lähteandmed!$C33,F38)</f>
        <v>121.87844514846802</v>
      </c>
      <c r="G39" s="22">
        <f>[1]!Olekuvorrand(G$4,G$5,G$6,5,G$9,Lähteandmed!$C33,G38)</f>
        <v>117.32321977615356</v>
      </c>
      <c r="H39" s="22">
        <f>[1]!Olekuvorrand(H$4,H$5,H$6,5,H$9,Lähteandmed!$C33,H38)</f>
        <v>121.41257524490356</v>
      </c>
      <c r="I39" s="22">
        <f>[1]!Olekuvorrand(I$4,I$5,I$6,5,I$9,Lähteandmed!$C33,I38)</f>
        <v>121.04803323745728</v>
      </c>
      <c r="J39" s="22">
        <f>[1]!Olekuvorrand(J$4,J$5,J$6,5,J$9,Lähteandmed!$C33,J38)</f>
        <v>120.39870023727417</v>
      </c>
      <c r="K39" s="22">
        <f>[1]!Olekuvorrand(K$4,K$5,K$6,5,K$9,Lähteandmed!$C33,K38)</f>
        <v>123.07649850845337</v>
      </c>
      <c r="L39" s="22">
        <f>[1]!Olekuvorrand(L$4,L$5,L$6,5,L$9,Lähteandmed!$C33,L38)</f>
        <v>120.40835618972778</v>
      </c>
      <c r="M39" s="22">
        <f>[1]!Olekuvorrand(M$4,M$5,M$6,5,M$9,Lähteandmed!$C33,M38)</f>
        <v>122.96456098556519</v>
      </c>
      <c r="N39" s="22">
        <f>[1]!Olekuvorrand(N$4,N$5,N$6,5,N$9,Lähteandmed!$C33,N38)</f>
        <v>122.76273965835571</v>
      </c>
      <c r="O39" s="22">
        <f>[1]!Olekuvorrand(O$4,O$5,O$6,5,O$9,Lähteandmed!$C33,O38)</f>
        <v>120.36019563674927</v>
      </c>
      <c r="P39" s="22">
        <f>[1]!Olekuvorrand(P$4,P$5,P$6,5,P$9,Lähteandmed!$C33,P38)</f>
        <v>117.76536703109741</v>
      </c>
      <c r="Q39" s="22">
        <f>[1]!Olekuvorrand(Q$4,Q$5,Q$6,5,Q$9,Lähteandmed!$C33,Q38)</f>
        <v>118.46727132797241</v>
      </c>
      <c r="R39" s="22" t="e">
        <f>[1]!Olekuvorrand(R$4,R$5,R$6,5,R$9,Lähteandmed!$C33,R38)</f>
        <v>#VALUE!</v>
      </c>
      <c r="S39" s="22">
        <f>[1]!Olekuvorrand(S$4,S$5,S$6,5,S$9,Lähteandmed!$C33,S38)</f>
        <v>112.96886205673218</v>
      </c>
      <c r="T39" s="22">
        <f>[1]!Olekuvorrand(T$4,T$5,T$6,5,T$9,Lähteandmed!$C33,T38)</f>
        <v>102.1081805229187</v>
      </c>
    </row>
    <row r="40" spans="1:20" x14ac:dyDescent="0.2">
      <c r="A40" s="159"/>
      <c r="B40" s="174"/>
      <c r="C40" s="77" t="s">
        <v>105</v>
      </c>
      <c r="D40" s="9">
        <f>[1]!ripe(D39,D$9+Lähteandmed!$E33*D$11,D$4,0)</f>
        <v>14.565623563676766</v>
      </c>
      <c r="E40" s="9">
        <f>[1]!ripe(E39,E$9+Lähteandmed!$E33*E$11,E$4,0)</f>
        <v>14.339464360069082</v>
      </c>
      <c r="F40" s="9">
        <f>[1]!ripe(F39,F$9+Lähteandmed!$E33*F$11,F$4,0)</f>
        <v>14.154732923113849</v>
      </c>
      <c r="G40" s="9">
        <f>[1]!ripe(G39,G$9+Lähteandmed!$E33*G$11,G$4,0)</f>
        <v>9.4386371989000626</v>
      </c>
      <c r="H40" s="9">
        <f>[1]!ripe(H39,H$9+Lähteandmed!$E33*H$11,H$4,0)</f>
        <v>13.539339456624971</v>
      </c>
      <c r="I40" s="9">
        <f>[1]!ripe(I39,I$9+Lähteandmed!$E33*I$11,I$4,0)</f>
        <v>13.083982166270081</v>
      </c>
      <c r="J40" s="9">
        <f>[1]!ripe(J39,J$9+Lähteandmed!$E33*J$11,J$4,0)</f>
        <v>12.324817197619701</v>
      </c>
      <c r="K40" s="9">
        <f>[1]!ripe(K39,K$9+Lähteandmed!$E33*K$11,K$4,0)</f>
        <v>15.936240992574758</v>
      </c>
      <c r="L40" s="9">
        <f>[1]!ripe(L39,L$9+Lähteandmed!$E33*L$11,L$4,0)</f>
        <v>12.335573099090643</v>
      </c>
      <c r="M40" s="9">
        <f>[1]!ripe(M39,M$9+Lähteandmed!$E33*M$11,M$4,0)</f>
        <v>15.756242783757418</v>
      </c>
      <c r="N40" s="9">
        <f>[1]!ripe(N39,N$9+Lähteandmed!$E33*N$11,N$4,0)</f>
        <v>15.439388068757451</v>
      </c>
      <c r="O40" s="9">
        <f>[1]!ripe(O39,O$9+Lähteandmed!$E33*O$11,O$4,0)</f>
        <v>12.281701247090975</v>
      </c>
      <c r="P40" s="9">
        <f>[1]!ripe(P39,P$9+Lähteandmed!$E33*P$11,P$4,0)</f>
        <v>9.7940587846658271</v>
      </c>
      <c r="Q40" s="9">
        <f>[1]!ripe(Q39,Q$9+Lähteandmed!$E33*Q$11,Q$4,0)</f>
        <v>10.395001839205879</v>
      </c>
      <c r="R40" s="9" t="e">
        <f>[1]!ripe(R39,R$9+Lähteandmed!$E33*R$11,R$4,0)</f>
        <v>#VALUE!</v>
      </c>
      <c r="S40" s="9">
        <f>[1]!ripe(S39,S$9+Lähteandmed!$E33*S$11,S$4,0)</f>
        <v>6.6690120539819064</v>
      </c>
      <c r="T40" s="9">
        <f>[1]!ripe(T39,T$9+Lähteandmed!$E33*T$11,T$4,0)</f>
        <v>2.9148416017847047</v>
      </c>
    </row>
    <row r="41" spans="1:20" x14ac:dyDescent="0.2">
      <c r="A41" s="72"/>
      <c r="B41" s="174"/>
      <c r="C41" s="77" t="s">
        <v>49</v>
      </c>
      <c r="D41" s="51">
        <f t="shared" ref="D41:K41" si="34">D40/D$4^2*1000000</f>
        <v>72.831051506702266</v>
      </c>
      <c r="E41" s="51">
        <f t="shared" ref="E41:T41" si="35">E40/E$4^2*1000000</f>
        <v>72.927114364051462</v>
      </c>
      <c r="F41" s="51">
        <f t="shared" si="35"/>
        <v>73.007431944050424</v>
      </c>
      <c r="G41" s="51">
        <f t="shared" si="35"/>
        <v>75.842039679787433</v>
      </c>
      <c r="H41" s="51">
        <f t="shared" si="35"/>
        <v>73.287567384804035</v>
      </c>
      <c r="I41" s="51">
        <f t="shared" si="35"/>
        <v>73.508276439059401</v>
      </c>
      <c r="J41" s="51">
        <f t="shared" si="35"/>
        <v>73.904720500202899</v>
      </c>
      <c r="K41" s="51">
        <f t="shared" si="35"/>
        <v>72.296761749460316</v>
      </c>
      <c r="L41" s="51">
        <f t="shared" si="35"/>
        <v>73.898793831242131</v>
      </c>
      <c r="M41" s="51">
        <f t="shared" si="35"/>
        <v>72.36257518674833</v>
      </c>
      <c r="N41" s="51">
        <f t="shared" si="35"/>
        <v>72.481538896788749</v>
      </c>
      <c r="O41" s="51">
        <f t="shared" si="35"/>
        <v>73.928363463931149</v>
      </c>
      <c r="P41" s="51">
        <f t="shared" si="35"/>
        <v>75.557292555066937</v>
      </c>
      <c r="Q41" s="51">
        <f t="shared" si="35"/>
        <v>75.109624707988544</v>
      </c>
      <c r="R41" s="51" t="e">
        <f t="shared" si="35"/>
        <v>#VALUE!</v>
      </c>
      <c r="S41" s="51">
        <f t="shared" si="35"/>
        <v>78.765352926675774</v>
      </c>
      <c r="T41" s="51">
        <f t="shared" si="35"/>
        <v>87.143187196703124</v>
      </c>
    </row>
    <row r="42" spans="1:20" ht="38.25" x14ac:dyDescent="0.2">
      <c r="A42" s="172">
        <v>5</v>
      </c>
      <c r="B42" s="173" t="str">
        <f>Lähteandmed!B36</f>
        <v>Piirjäitekoormus + vähend tuul</v>
      </c>
      <c r="C42" s="76" t="s">
        <v>222</v>
      </c>
      <c r="D42" s="6">
        <f>SQRT((kaalutegur R_5*[1]!juhe(D5,6)+jaitetegur R_5*[1]!Jaitekoormus_EN(D$5,JaideJ_1,hJ_1))^2+(tuuletegur R_5*[1]!Tuulekoormus_en(D$5,QJ_1,hJ_1,zo,D$4,JaideJ_1,jaitetegur R_5))^2)</f>
        <v>8.1202200856781828E-2</v>
      </c>
      <c r="E42" s="6">
        <f>SQRT((kaalutegur R_5*[1]!juhe(E5,6)+jaitetegur R_5*[1]!Jaitekoormus_EN(E$5,JaideJ_1,hJ_1))^2+(tuuletegur R_5*[1]!Tuulekoormus_en(E$5,QJ_1,hJ_1,zo,E$4,JaideJ_1,jaitetegur R_5))^2)</f>
        <v>8.12185629860456E-2</v>
      </c>
      <c r="F42" s="6">
        <f>SQRT((kaalutegur R_5*[1]!juhe(F5,6)+jaitetegur R_5*[1]!Jaitekoormus_EN(F$5,JaideJ_1,hJ_1))^2+(tuuletegur R_5*[1]!Tuulekoormus_en(F$5,QJ_1,hJ_1,zo,F$4,JaideJ_1,jaitetegur R_5))^2)</f>
        <v>8.123213708040028E-2</v>
      </c>
      <c r="G42" s="6">
        <f>SQRT((kaalutegur R_5*[1]!juhe(G5,6)+jaitetegur R_5*[1]!Jaitekoormus_EN(G$5,JaideJ_1,hJ_1))^2+(tuuletegur R_5*[1]!Tuulekoormus_en(G$5,QJ_1,hJ_1,zo,G$4,JaideJ_1,jaitetegur R_5))^2)</f>
        <v>8.1663754643774275E-2</v>
      </c>
      <c r="H42" s="6">
        <f>SQRT((kaalutegur R_5*[1]!juhe(H5,6)+jaitetegur R_5*[1]!Jaitekoormus_EN(H$5,JaideJ_1,hJ_1))^2+(tuuletegur R_5*[1]!Tuulekoormus_en(H$5,QJ_1,hJ_1,zo,H$4,JaideJ_1,jaitetegur R_5))^2)</f>
        <v>8.1278781227371075E-2</v>
      </c>
      <c r="I42" s="6">
        <f>SQRT((kaalutegur R_5*[1]!juhe(I5,6)+jaitetegur R_5*[1]!Jaitekoormus_EN(I$5,JaideJ_1,hJ_1))^2+(tuuletegur R_5*[1]!Tuulekoormus_en(I$5,QJ_1,hJ_1,zo,I$4,JaideJ_1,jaitetegur R_5))^2)</f>
        <v>8.1314798744680977E-2</v>
      </c>
      <c r="J42" s="6">
        <f>SQRT((kaalutegur R_5*[1]!juhe(J5,6)+jaitetegur R_5*[1]!Jaitekoormus_EN(J$5,JaideJ_1,hJ_1))^2+(tuuletegur R_5*[1]!Tuulekoormus_en(J$5,QJ_1,hJ_1,zo,J$4,JaideJ_1,jaitetegur R_5))^2)</f>
        <v>8.1377976309425226E-2</v>
      </c>
      <c r="K42" s="6">
        <f>SQRT((kaalutegur R_5*[1]!juhe(K5,6)+jaitetegur R_5*[1]!Jaitekoormus_EN(K$5,JaideJ_1,hJ_1))^2+(tuuletegur R_5*[1]!Tuulekoormus_en(K$5,QJ_1,hJ_1,zo,K$4,JaideJ_1,jaitetegur R_5))^2)</f>
        <v>8.1108585163018915E-2</v>
      </c>
      <c r="L42" s="6">
        <f>SQRT((kaalutegur R_5*[1]!juhe(L5,6)+jaitetegur R_5*[1]!Jaitekoormus_EN(L$5,JaideJ_1,hJ_1))^2+(tuuletegur R_5*[1]!Tuulekoormus_en(L$5,QJ_1,hJ_1,zo,L$4,JaideJ_1,jaitetegur R_5))^2)</f>
        <v>8.1377051509772619E-2</v>
      </c>
      <c r="M42" s="6">
        <f>SQRT((kaalutegur R_5*[1]!juhe(M5,6)+jaitetegur R_5*[1]!Jaitekoormus_EN(M$5,JaideJ_1,hJ_1))^2+(tuuletegur R_5*[1]!Tuulekoormus_en(M$5,QJ_1,hJ_1,zo,M$4,JaideJ_1,jaitetegur R_5))^2)</f>
        <v>8.1120370455495763E-2</v>
      </c>
      <c r="N42" s="6">
        <f>SQRT((kaalutegur R_5*[1]!juhe(N5,6)+jaitetegur R_5*[1]!Jaitekoormus_EN(N$5,JaideJ_1,hJ_1))^2+(tuuletegur R_5*[1]!Tuulekoormus_en(N$5,QJ_1,hJ_1,zo,N$4,JaideJ_1,jaitetegur R_5))^2)</f>
        <v>8.1141476351023992E-2</v>
      </c>
      <c r="O42" s="6">
        <f>SQRT((kaalutegur R_5*[1]!juhe(O5,6)+jaitetegur R_5*[1]!Jaitekoormus_EN(O$5,JaideJ_1,hJ_1))^2+(tuuletegur R_5*[1]!Tuulekoormus_en(O$5,QJ_1,hJ_1,zo,O$4,JaideJ_1,jaitetegur R_5))^2)</f>
        <v>8.1381689661073967E-2</v>
      </c>
      <c r="P42" s="6">
        <f>SQRT((kaalutegur R_5*[1]!juhe(P5,6)+jaitetegur R_5*[1]!Jaitekoormus_EN(P$5,JaideJ_1,hJ_1))^2+(tuuletegur R_5*[1]!Tuulekoormus_en(P$5,QJ_1,hJ_1,zo,P$4,JaideJ_1,jaitetegur R_5))^2)</f>
        <v>8.1623796627285458E-2</v>
      </c>
      <c r="Q42" s="6">
        <f>SQRT((kaalutegur R_5*[1]!juhe(Q5,6)+jaitetegur R_5*[1]!Jaitekoormus_EN(Q$5,JaideJ_1,hJ_1))^2+(tuuletegur R_5*[1]!Tuulekoormus_en(Q$5,QJ_1,hJ_1,zo,Q$4,JaideJ_1,jaitetegur R_5))^2)</f>
        <v>8.1559669946182106E-2</v>
      </c>
      <c r="R42" s="6" t="e">
        <f>SQRT((kaalutegur R_5*[1]!juhe(R5,6)+jaitetegur R_5*[1]!Jaitekoormus_EN(R$5,JaideJ_1,hJ_1))^2+(tuuletegur R_5*[1]!Tuulekoormus_en(R$5,QJ_1,hJ_1,zo,R$4,JaideJ_1,jaitetegur R_5))^2)</f>
        <v>#VALUE!</v>
      </c>
      <c r="S42" s="6">
        <f>SQRT((kaalutegur R_5*[1]!juhe(S5,6)+jaitetegur R_5*[1]!Jaitekoormus_EN(S$5,JaideJ_1,hJ_1))^2+(tuuletegur R_5*[1]!Tuulekoormus_en(S$5,QJ_1,hJ_1,zo,S$4,JaideJ_1,jaitetegur R_5))^2)</f>
        <v>8.204470347427803E-2</v>
      </c>
      <c r="T42" s="6">
        <f>SQRT((kaalutegur R_5*[1]!juhe(T5,6)+jaitetegur R_5*[1]!Jaitekoormus_EN(T$5,JaideJ_1,hJ_1))^2+(tuuletegur R_5*[1]!Tuulekoormus_en(T$5,QJ_1,hJ_1,zo,T$4,JaideJ_1,jaitetegur R_5))^2)</f>
        <v>8.298560793899179E-2</v>
      </c>
    </row>
    <row r="43" spans="1:20" x14ac:dyDescent="0.2">
      <c r="A43" s="172"/>
      <c r="B43" s="173"/>
      <c r="C43" s="76" t="s">
        <v>104</v>
      </c>
      <c r="D43" s="3">
        <f>[1]!Olekuvorrand(D$4,D$5,D$6,5,D$9,Lähteandmed!$C36,D42)</f>
        <v>135.29866933822632</v>
      </c>
      <c r="E43" s="3">
        <f>[1]!Olekuvorrand(E$4,E$5,E$6,5,E$9,Lähteandmed!$C36,E42)</f>
        <v>135.10221242904663</v>
      </c>
      <c r="F43" s="3">
        <f>[1]!Olekuvorrand(F$4,F$5,F$6,5,F$9,Lähteandmed!$C36,F42)</f>
        <v>134.93841886520386</v>
      </c>
      <c r="G43" s="3">
        <f>[1]!Olekuvorrand(G$4,G$5,G$6,5,G$9,Lähteandmed!$C36,G42)</f>
        <v>129.34345006942749</v>
      </c>
      <c r="H43" s="3">
        <f>[1]!Olekuvorrand(H$4,H$5,H$6,5,H$9,Lähteandmed!$C36,H42)</f>
        <v>134.36895608901978</v>
      </c>
      <c r="I43" s="3">
        <f>[1]!Olekuvorrand(I$4,I$5,I$6,5,I$9,Lähteandmed!$C36,I42)</f>
        <v>133.9227557182312</v>
      </c>
      <c r="J43" s="3">
        <f>[1]!Olekuvorrand(J$4,J$5,J$6,5,J$9,Lähteandmed!$C36,J42)</f>
        <v>133.12703371047974</v>
      </c>
      <c r="K43" s="3">
        <f>[1]!Olekuvorrand(K$4,K$5,K$6,5,K$9,Lähteandmed!$C36,K42)</f>
        <v>136.39849424362183</v>
      </c>
      <c r="L43" s="3">
        <f>[1]!Olekuvorrand(L$4,L$5,L$6,5,L$9,Lähteandmed!$C36,L42)</f>
        <v>133.13871622085571</v>
      </c>
      <c r="M43" s="3">
        <f>[1]!Olekuvorrand(M$4,M$5,M$6,5,M$9,Lähteandmed!$C36,M42)</f>
        <v>136.26235723495483</v>
      </c>
      <c r="N43" s="3">
        <f>[1]!Olekuvorrand(N$4,N$5,N$6,5,N$9,Lähteandmed!$C36,N42)</f>
        <v>136.01678609848022</v>
      </c>
      <c r="O43" s="3">
        <f>[1]!Olekuvorrand(O$4,O$5,O$6,5,O$9,Lähteandmed!$C36,O42)</f>
        <v>133.07970762252808</v>
      </c>
      <c r="P43" s="3">
        <f>[1]!Olekuvorrand(P$4,P$5,P$6,5,P$9,Lähteandmed!$C36,P42)</f>
        <v>129.88847494125366</v>
      </c>
      <c r="Q43" s="3">
        <f>[1]!Olekuvorrand(Q$4,Q$5,Q$6,5,Q$9,Lähteandmed!$C36,Q42)</f>
        <v>130.75321912765503</v>
      </c>
      <c r="R43" s="3" t="e">
        <f>[1]!Olekuvorrand(R$4,R$5,R$6,5,R$9,Lähteandmed!$C36,R42)</f>
        <v>#VALUE!</v>
      </c>
      <c r="S43" s="3">
        <f>[1]!Olekuvorrand(S$4,S$5,S$6,5,S$9,Lähteandmed!$C36,S42)</f>
        <v>123.96150827407837</v>
      </c>
      <c r="T43" s="3">
        <f>[1]!Olekuvorrand(T$4,T$5,T$6,5,T$9,Lähteandmed!$C36,T42)</f>
        <v>110.43709516525269</v>
      </c>
    </row>
    <row r="44" spans="1:20" x14ac:dyDescent="0.2">
      <c r="A44" s="172"/>
      <c r="B44" s="173"/>
      <c r="C44" s="76" t="s">
        <v>105</v>
      </c>
      <c r="D44" s="3">
        <f>[1]!ripe(D43,D$9+Lähteandmed!$E36*D$11,D$4,0)</f>
        <v>13.152640619244986</v>
      </c>
      <c r="E44" s="3">
        <f>[1]!ripe(E43,E$9+Lähteandmed!$E36*E$11,E$4,0)</f>
        <v>12.950168397960722</v>
      </c>
      <c r="F44" s="3">
        <f>[1]!ripe(F43,F$9+Lähteandmed!$E36*F$11,F$4,0)</f>
        <v>12.784771414020224</v>
      </c>
      <c r="G44" s="3">
        <f>[1]!ripe(G43,G$9+Lähteandmed!$E36*G$11,G$4,0)</f>
        <v>8.5614795792096814</v>
      </c>
      <c r="H44" s="3">
        <f>[1]!ripe(H43,H$9+Lähteandmed!$E36*H$11,H$4,0)</f>
        <v>12.233823335315032</v>
      </c>
      <c r="I44" s="3">
        <f>[1]!ripe(I43,I$9+Lähteandmed!$E36*I$11,I$4,0)</f>
        <v>11.826147839081198</v>
      </c>
      <c r="J44" s="3">
        <f>[1]!ripe(J43,J$9+Lähteandmed!$E36*J$11,J$4,0)</f>
        <v>11.146436076105587</v>
      </c>
      <c r="K44" s="3">
        <f>[1]!ripe(K43,K$9+Lähteandmed!$E36*K$11,K$4,0)</f>
        <v>14.379753615533019</v>
      </c>
      <c r="L44" s="3">
        <f>[1]!ripe(L43,L$9+Lähteandmed!$E36*L$11,L$4,0)</f>
        <v>11.156079325985438</v>
      </c>
      <c r="M44" s="3">
        <f>[1]!ripe(M43,M$9+Lähteandmed!$E36*M$11,M$4,0)</f>
        <v>14.218596507515148</v>
      </c>
      <c r="N44" s="3">
        <f>[1]!ripe(N43,N$9+Lähteandmed!$E36*N$11,N$4,0)</f>
        <v>13.934909303009713</v>
      </c>
      <c r="O44" s="3">
        <f>[1]!ripe(O43,O$9+Lähteandmed!$E36*O$11,O$4,0)</f>
        <v>11.107838988081298</v>
      </c>
      <c r="P44" s="3">
        <f>[1]!ripe(P43,P$9+Lähteandmed!$E36*P$11,P$4,0)</f>
        <v>8.8799327886633392</v>
      </c>
      <c r="Q44" s="3">
        <f>[1]!ripe(Q43,Q$9+Lähteandmed!$E36*Q$11,Q$4,0)</f>
        <v>9.4182576272763665</v>
      </c>
      <c r="R44" s="3" t="e">
        <f>[1]!ripe(R43,R$9+Lähteandmed!$E36*R$11,R$4,0)</f>
        <v>#VALUE!</v>
      </c>
      <c r="S44" s="3">
        <f>[1]!ripe(S43,S$9+Lähteandmed!$E36*S$11,S$4,0)</f>
        <v>6.0776180708871532</v>
      </c>
      <c r="T44" s="3">
        <f>[1]!ripe(T43,T$9+Lähteandmed!$E36*T$11,T$4,0)</f>
        <v>2.695010874972656</v>
      </c>
    </row>
    <row r="45" spans="1:20" x14ac:dyDescent="0.2">
      <c r="A45" s="73"/>
      <c r="B45" s="173"/>
      <c r="C45" s="76" t="s">
        <v>49</v>
      </c>
      <c r="D45" s="50">
        <f t="shared" ref="D45:K45" si="36">D44/D$4^2*1000000</f>
        <v>65.765852193118903</v>
      </c>
      <c r="E45" s="50">
        <f t="shared" ref="E45:T45" si="37">E44/E$4^2*1000000</f>
        <v>65.861484646645252</v>
      </c>
      <c r="F45" s="50">
        <f t="shared" si="37"/>
        <v>65.941429908943206</v>
      </c>
      <c r="G45" s="50">
        <f t="shared" si="37"/>
        <v>68.793837529826817</v>
      </c>
      <c r="H45" s="50">
        <f t="shared" si="37"/>
        <v>66.220893192981947</v>
      </c>
      <c r="I45" s="50">
        <f t="shared" si="37"/>
        <v>66.441526250733745</v>
      </c>
      <c r="J45" s="50">
        <f t="shared" si="37"/>
        <v>66.838658096856619</v>
      </c>
      <c r="K45" s="50">
        <f t="shared" si="37"/>
        <v>65.235560985964071</v>
      </c>
      <c r="L45" s="50">
        <f t="shared" si="37"/>
        <v>66.832793211428125</v>
      </c>
      <c r="M45" s="50">
        <f t="shared" si="37"/>
        <v>65.300736536362237</v>
      </c>
      <c r="N45" s="50">
        <f t="shared" si="37"/>
        <v>65.418633573513631</v>
      </c>
      <c r="O45" s="50">
        <f t="shared" si="37"/>
        <v>66.862427402246411</v>
      </c>
      <c r="P45" s="50">
        <f t="shared" si="37"/>
        <v>68.505171791784363</v>
      </c>
      <c r="Q45" s="50">
        <f t="shared" si="37"/>
        <v>68.052108766333816</v>
      </c>
      <c r="R45" s="50" t="e">
        <f t="shared" si="37"/>
        <v>#VALUE!</v>
      </c>
      <c r="S45" s="50">
        <f t="shared" si="37"/>
        <v>71.780606847328357</v>
      </c>
      <c r="T45" s="50">
        <f t="shared" si="37"/>
        <v>80.571046135439161</v>
      </c>
    </row>
    <row r="46" spans="1:20" ht="38.25" x14ac:dyDescent="0.2">
      <c r="A46" s="159">
        <v>6</v>
      </c>
      <c r="B46" s="174" t="str">
        <f>Lähteandmed!B39</f>
        <v>Suur tuul + mõõdukas jäide</v>
      </c>
      <c r="C46" s="77" t="s">
        <v>222</v>
      </c>
      <c r="D46" s="9">
        <f>SQRT((kaalutegur R_6*[1]!juhe(D5,6)+jaitetegur R_6*[1]!Jaitekoormus_EN(D$5,JaideJ_1,hJ_1))^2+(tuuletegur R_6*[1]!Tuulekoormus_en(D$5,QJ_1,hJ_1,zo,D$4,JaideJ_1,jaitetegur R_6))^2)</f>
        <v>7.6153624487955721E-2</v>
      </c>
      <c r="E46" s="9">
        <f>SQRT((kaalutegur R_6*[1]!juhe(E5,6)+jaitetegur R_6*[1]!Jaitekoormus_EN(E$5,JaideJ_1,hJ_1))^2+(tuuletegur R_6*[1]!Tuulekoormus_en(E$5,QJ_1,hJ_1,zo,E$4,JaideJ_1,jaitetegur R_6))^2)</f>
        <v>7.6198545088563135E-2</v>
      </c>
      <c r="F46" s="9">
        <f>SQRT((kaalutegur R_6*[1]!juhe(F5,6)+jaitetegur R_6*[1]!Jaitekoormus_EN(F$5,JaideJ_1,hJ_1))^2+(tuuletegur R_6*[1]!Tuulekoormus_en(F$5,QJ_1,hJ_1,zo,F$4,JaideJ_1,jaitetegur R_6))^2)</f>
        <v>7.6235798191842535E-2</v>
      </c>
      <c r="G46" s="9">
        <f>SQRT((kaalutegur R_6*[1]!juhe(G5,6)+jaitetegur R_6*[1]!Jaitekoormus_EN(G$5,JaideJ_1,hJ_1))^2+(tuuletegur R_6*[1]!Tuulekoormus_en(G$5,QJ_1,hJ_1,zo,G$4,JaideJ_1,jaitetegur R_6))^2)</f>
        <v>7.7414189525331772E-2</v>
      </c>
      <c r="H46" s="9">
        <f>SQRT((kaalutegur R_6*[1]!juhe(H5,6)+jaitetegur R_6*[1]!Jaitekoormus_EN(H$5,JaideJ_1,hJ_1))^2+(tuuletegur R_6*[1]!Tuulekoormus_en(H$5,QJ_1,hJ_1,zo,H$4,JaideJ_1,jaitetegur R_6))^2)</f>
        <v>7.6363718462918728E-2</v>
      </c>
      <c r="I46" s="9">
        <f>SQRT((kaalutegur R_6*[1]!juhe(I5,6)+jaitetegur R_6*[1]!Jaitekoormus_EN(I$5,JaideJ_1,hJ_1))^2+(tuuletegur R_6*[1]!Tuulekoormus_en(I$5,QJ_1,hJ_1,zo,I$4,JaideJ_1,jaitetegur R_6))^2)</f>
        <v>7.6462399207096077E-2</v>
      </c>
      <c r="J46" s="9">
        <f>SQRT((kaalutegur R_6*[1]!juhe(J5,6)+jaitetegur R_6*[1]!Jaitekoormus_EN(J$5,JaideJ_1,hJ_1))^2+(tuuletegur R_6*[1]!Tuulekoormus_en(J$5,QJ_1,hJ_1,zo,J$4,JaideJ_1,jaitetegur R_6))^2)</f>
        <v>7.6635291382355378E-2</v>
      </c>
      <c r="K46" s="9">
        <f>SQRT((kaalutegur R_6*[1]!juhe(K5,6)+jaitetegur R_6*[1]!Jaitekoormus_EN(K$5,JaideJ_1,hJ_1))^2+(tuuletegur R_6*[1]!Tuulekoormus_en(K$5,QJ_1,hJ_1,zo,K$4,JaideJ_1,jaitetegur R_6))^2)</f>
        <v>7.5896275341469407E-2</v>
      </c>
      <c r="L46" s="9">
        <f>SQRT((kaalutegur R_6*[1]!juhe(L5,6)+jaitetegur R_6*[1]!Jaitekoormus_EN(L$5,JaideJ_1,hJ_1))^2+(tuuletegur R_6*[1]!Tuulekoormus_en(L$5,QJ_1,hJ_1,zo,L$4,JaideJ_1,jaitetegur R_6))^2)</f>
        <v>7.6632762414795941E-2</v>
      </c>
      <c r="M46" s="9">
        <f>SQRT((kaalutegur R_6*[1]!juhe(M5,6)+jaitetegur R_6*[1]!Jaitekoormus_EN(M$5,JaideJ_1,hJ_1))^2+(tuuletegur R_6*[1]!Tuulekoormus_en(M$5,QJ_1,hJ_1,zo,M$4,JaideJ_1,jaitetegur R_6))^2)</f>
        <v>7.5928704698204993E-2</v>
      </c>
      <c r="N46" s="9">
        <f>SQRT((kaalutegur R_6*[1]!juhe(N5,6)+jaitetegur R_6*[1]!Jaitekoormus_EN(N$5,JaideJ_1,hJ_1))^2+(tuuletegur R_6*[1]!Tuulekoormus_en(N$5,QJ_1,hJ_1,zo,N$4,JaideJ_1,jaitetegur R_6))^2)</f>
        <v>7.5986758550822917E-2</v>
      </c>
      <c r="O46" s="9">
        <f>SQRT((kaalutegur R_6*[1]!juhe(O5,6)+jaitetegur R_6*[1]!Jaitekoormus_EN(O$5,JaideJ_1,hJ_1))^2+(tuuletegur R_6*[1]!Tuulekoormus_en(O$5,QJ_1,hJ_1,zo,O$4,JaideJ_1,jaitetegur R_6))^2)</f>
        <v>7.6645445404784365E-2</v>
      </c>
      <c r="P46" s="9">
        <f>SQRT((kaalutegur R_6*[1]!juhe(P5,6)+jaitetegur R_6*[1]!Jaitekoormus_EN(P$5,JaideJ_1,hJ_1))^2+(tuuletegur R_6*[1]!Tuulekoormus_en(P$5,QJ_1,hJ_1,zo,P$4,JaideJ_1,jaitetegur R_6))^2)</f>
        <v>7.7305590985256148E-2</v>
      </c>
      <c r="Q46" s="9">
        <f>SQRT((kaalutegur R_6*[1]!juhe(Q5,6)+jaitetegur R_6*[1]!Jaitekoormus_EN(Q$5,JaideJ_1,hJ_1))^2+(tuuletegur R_6*[1]!Tuulekoormus_en(Q$5,QJ_1,hJ_1,zo,Q$4,JaideJ_1,jaitetegur R_6))^2)</f>
        <v>7.7131098284362945E-2</v>
      </c>
      <c r="R46" s="9" t="e">
        <f>SQRT((kaalutegur R_6*[1]!juhe(R5,6)+jaitetegur R_6*[1]!Jaitekoormus_EN(R$5,JaideJ_1,hJ_1))^2+(tuuletegur R_6*[1]!Tuulekoormus_en(R$5,QJ_1,hJ_1,zo,R$4,JaideJ_1,jaitetegur R_6))^2)</f>
        <v>#VALUE!</v>
      </c>
      <c r="S46" s="9">
        <f>SQRT((kaalutegur R_6*[1]!juhe(S5,6)+jaitetegur R_6*[1]!Jaitekoormus_EN(S$5,JaideJ_1,hJ_1))^2+(tuuletegur R_6*[1]!Tuulekoormus_en(S$5,QJ_1,hJ_1,zo,S$4,JaideJ_1,jaitetegur R_6))^2)</f>
        <v>7.8444621280672422E-2</v>
      </c>
      <c r="T46" s="9">
        <f>SQRT((kaalutegur R_6*[1]!juhe(T5,6)+jaitetegur R_6*[1]!Jaitekoormus_EN(T$5,JaideJ_1,hJ_1))^2+(tuuletegur R_6*[1]!Tuulekoormus_en(T$5,QJ_1,hJ_1,zo,T$4,JaideJ_1,jaitetegur R_6))^2)</f>
        <v>8.0953268033188225E-2</v>
      </c>
    </row>
    <row r="47" spans="1:20" x14ac:dyDescent="0.2">
      <c r="A47" s="159"/>
      <c r="B47" s="174"/>
      <c r="C47" s="77" t="s">
        <v>104</v>
      </c>
      <c r="D47" s="22">
        <f>[1]!Olekuvorrand(D$4,D$5,D$6,5,D$9,Lähteandmed!$C39,D46)</f>
        <v>128.74859571456909</v>
      </c>
      <c r="E47" s="22">
        <f>[1]!Olekuvorrand(E$4,E$5,E$6,5,E$9,Lähteandmed!$C39,E46)</f>
        <v>128.61829996109009</v>
      </c>
      <c r="F47" s="22">
        <f>[1]!Olekuvorrand(F$4,F$5,F$6,5,F$9,Lähteandmed!$C39,F46)</f>
        <v>128.50910425186157</v>
      </c>
      <c r="G47" s="22">
        <f>[1]!Olekuvorrand(G$4,G$5,G$6,5,G$9,Lähteandmed!$C39,G46)</f>
        <v>124.53383207321167</v>
      </c>
      <c r="H47" s="22">
        <f>[1]!Olekuvorrand(H$4,H$5,H$6,5,H$9,Lähteandmed!$C39,H46)</f>
        <v>128.12572717666626</v>
      </c>
      <c r="I47" s="22">
        <f>[1]!Olekuvorrand(I$4,I$5,I$6,5,I$9,Lähteandmed!$C39,I46)</f>
        <v>127.82150506973267</v>
      </c>
      <c r="J47" s="22">
        <f>[1]!Olekuvorrand(J$4,J$5,J$6,5,J$9,Lähteandmed!$C39,J46)</f>
        <v>127.27099657058716</v>
      </c>
      <c r="K47" s="22">
        <f>[1]!Olekuvorrand(K$4,K$5,K$6,5,K$9,Lähteandmed!$C39,K46)</f>
        <v>129.46444749832153</v>
      </c>
      <c r="L47" s="22">
        <f>[1]!Olekuvorrand(L$4,L$5,L$6,5,L$9,Lähteandmed!$C39,L46)</f>
        <v>127.27922201156616</v>
      </c>
      <c r="M47" s="22">
        <f>[1]!Olekuvorrand(M$4,M$5,M$6,5,M$9,Lähteandmed!$C39,M46)</f>
        <v>129.37718629837036</v>
      </c>
      <c r="N47" s="22">
        <f>[1]!Olekuvorrand(N$4,N$5,N$6,5,N$9,Lähteandmed!$C39,N46)</f>
        <v>129.21875715255737</v>
      </c>
      <c r="O47" s="22">
        <f>[1]!Olekuvorrand(O$4,O$5,O$6,5,O$9,Lähteandmed!$C39,O46)</f>
        <v>127.23797559738159</v>
      </c>
      <c r="P47" s="22">
        <f>[1]!Olekuvorrand(P$4,P$5,P$6,5,P$9,Lähteandmed!$C39,P46)</f>
        <v>124.93914365768433</v>
      </c>
      <c r="Q47" s="22">
        <f>[1]!Olekuvorrand(Q$4,Q$5,Q$6,5,Q$9,Lähteandmed!$C39,Q46)</f>
        <v>125.57488679885864</v>
      </c>
      <c r="R47" s="22" t="e">
        <f>[1]!Olekuvorrand(R$4,R$5,R$6,5,R$9,Lähteandmed!$C39,R46)</f>
        <v>#VALUE!</v>
      </c>
      <c r="S47" s="22">
        <f>[1]!Olekuvorrand(S$4,S$5,S$6,5,S$9,Lähteandmed!$C39,S46)</f>
        <v>120.37461996078491</v>
      </c>
      <c r="T47" s="22">
        <f>[1]!Olekuvorrand(T$4,T$5,T$6,5,T$9,Lähteandmed!$C39,T46)</f>
        <v>109.02613401412964</v>
      </c>
    </row>
    <row r="48" spans="1:20" x14ac:dyDescent="0.2">
      <c r="A48" s="159"/>
      <c r="B48" s="174"/>
      <c r="C48" s="77" t="s">
        <v>105</v>
      </c>
      <c r="D48" s="9">
        <f>[1]!ripe(D47,D$9+Lähteandmed!$E39*D$11,D$4,0)</f>
        <v>8.3921932047310044</v>
      </c>
      <c r="E48" s="9">
        <f>[1]!ripe(E47,E$9+Lähteandmed!$E39*E$11,E$4,0)</f>
        <v>8.2593640185146047</v>
      </c>
      <c r="F48" s="9">
        <f>[1]!ripe(F47,F$9+Lähteandmed!$E39*F$11,F$4,0)</f>
        <v>8.1509116070225094</v>
      </c>
      <c r="G48" s="9">
        <f>[1]!ripe(G47,G$9+Lähteandmed!$E39*G$11,G$4,0)</f>
        <v>5.3990507456689034</v>
      </c>
      <c r="H48" s="9">
        <f>[1]!ripe(H47,H$9+Lähteandmed!$E39*H$11,H$4,0)</f>
        <v>7.7899792348615735</v>
      </c>
      <c r="I48" s="9">
        <f>[1]!ripe(I47,I$9+Lähteandmed!$E39*I$11,I$4,0)</f>
        <v>7.5232457671103248</v>
      </c>
      <c r="J48" s="9">
        <f>[1]!ripe(J47,J$9+Lähteandmed!$E39*J$11,J$4,0)</f>
        <v>7.0792025032611834</v>
      </c>
      <c r="K48" s="9">
        <f>[1]!ripe(K47,K$9+Lähteandmed!$E39*K$11,K$4,0)</f>
        <v>9.198605505989141</v>
      </c>
      <c r="L48" s="9">
        <f>[1]!ripe(L47,L$9+Lähteandmed!$E39*L$11,L$4,0)</f>
        <v>7.0854908580533245</v>
      </c>
      <c r="M48" s="9">
        <f>[1]!ripe(M47,M$9+Lähteandmed!$E39*M$11,M$4,0)</f>
        <v>9.0925651439921111</v>
      </c>
      <c r="N48" s="9">
        <f>[1]!ripe(N47,N$9+Lähteandmed!$E39*N$11,N$4,0)</f>
        <v>8.9059979536870895</v>
      </c>
      <c r="O48" s="9">
        <f>[1]!ripe(O47,O$9+Lähteandmed!$E39*O$11,O$4,0)</f>
        <v>7.0540114231441082</v>
      </c>
      <c r="P48" s="9">
        <f>[1]!ripe(P47,P$9+Lähteandmed!$E39*P$11,P$4,0)</f>
        <v>5.605227793385553</v>
      </c>
      <c r="Q48" s="9">
        <f>[1]!ripe(Q47,Q$9+Lähteandmed!$E39*Q$11,Q$4,0)</f>
        <v>5.9543129389539171</v>
      </c>
      <c r="R48" s="9" t="e">
        <f>[1]!ripe(R47,R$9+Lähteandmed!$E39*R$11,R$4,0)</f>
        <v>#VALUE!</v>
      </c>
      <c r="S48" s="9">
        <f>[1]!ripe(S47,S$9+Lähteandmed!$E39*S$11,S$4,0)</f>
        <v>3.8001157292584877</v>
      </c>
      <c r="T48" s="9">
        <f>[1]!ripe(T47,T$9+Lähteandmed!$E39*T$11,T$4,0)</f>
        <v>1.657510848793303</v>
      </c>
    </row>
    <row r="49" spans="1:20" x14ac:dyDescent="0.2">
      <c r="A49" s="72"/>
      <c r="B49" s="174"/>
      <c r="C49" s="77" t="s">
        <v>49</v>
      </c>
      <c r="D49" s="51">
        <f t="shared" ref="D49:K49" si="38">D48/D$4^2*1000000</f>
        <v>41.962656310312724</v>
      </c>
      <c r="E49" s="51">
        <f t="shared" ref="E49:T49" si="39">E48/E$4^2*1000000</f>
        <v>42.005166248039991</v>
      </c>
      <c r="F49" s="51">
        <f t="shared" si="39"/>
        <v>42.040858535729804</v>
      </c>
      <c r="G49" s="51">
        <f t="shared" si="39"/>
        <v>43.382854140630101</v>
      </c>
      <c r="H49" s="51">
        <f t="shared" si="39"/>
        <v>42.16665295453457</v>
      </c>
      <c r="I49" s="51">
        <f t="shared" si="39"/>
        <v>42.267011872990182</v>
      </c>
      <c r="J49" s="51">
        <f t="shared" si="39"/>
        <v>42.4498371033769</v>
      </c>
      <c r="K49" s="51">
        <f t="shared" si="39"/>
        <v>41.730630893673784</v>
      </c>
      <c r="L49" s="51">
        <f t="shared" si="39"/>
        <v>42.447093775564674</v>
      </c>
      <c r="M49" s="51">
        <f t="shared" si="39"/>
        <v>41.758777006838628</v>
      </c>
      <c r="N49" s="51">
        <f t="shared" si="39"/>
        <v>41.809975513287476</v>
      </c>
      <c r="O49" s="51">
        <f t="shared" si="39"/>
        <v>42.460853743078921</v>
      </c>
      <c r="P49" s="51">
        <f t="shared" si="39"/>
        <v>43.242117035861227</v>
      </c>
      <c r="Q49" s="51">
        <f t="shared" si="39"/>
        <v>43.023196836001205</v>
      </c>
      <c r="R49" s="51" t="e">
        <f t="shared" si="39"/>
        <v>#VALUE!</v>
      </c>
      <c r="S49" s="51">
        <f t="shared" si="39"/>
        <v>44.881828695832304</v>
      </c>
      <c r="T49" s="51">
        <f t="shared" si="39"/>
        <v>49.553559990540343</v>
      </c>
    </row>
    <row r="50" spans="1:20" ht="38.25" x14ac:dyDescent="0.2">
      <c r="A50" s="172">
        <v>7</v>
      </c>
      <c r="B50" s="173" t="str">
        <f>Lähteandmed!B42</f>
        <v>EDS</v>
      </c>
      <c r="C50" s="76" t="s">
        <v>222</v>
      </c>
      <c r="D50" s="6">
        <f>SQRT((kaalutegur R_7*[1]!juhe(D5,6)+jaitetegur R_7*[1]!Jaitekoormus_EN(D$5,JaideJ_1,hJ_1))^2+(tuuletegur R_7*[1]!Tuulekoormus_en(D$5,QJ_1,hJ_1,zo,D$4,JaideJ_1,jaitetegur R_7))^2)</f>
        <v>3.39E-2</v>
      </c>
      <c r="E50" s="6">
        <f>SQRT((kaalutegur R_7*[1]!juhe(E5,6)+jaitetegur R_7*[1]!Jaitekoormus_EN(E$5,JaideJ_1,hJ_1))^2+(tuuletegur R_7*[1]!Tuulekoormus_en(E$5,QJ_1,hJ_1,zo,E$4,JaideJ_1,jaitetegur R_7))^2)</f>
        <v>3.39E-2</v>
      </c>
      <c r="F50" s="6">
        <f>SQRT((kaalutegur R_7*[1]!juhe(F5,6)+jaitetegur R_7*[1]!Jaitekoormus_EN(F$5,JaideJ_1,hJ_1))^2+(tuuletegur R_7*[1]!Tuulekoormus_en(F$5,QJ_1,hJ_1,zo,F$4,JaideJ_1,jaitetegur R_7))^2)</f>
        <v>3.39E-2</v>
      </c>
      <c r="G50" s="6">
        <f>SQRT((kaalutegur R_7*[1]!juhe(G5,6)+jaitetegur R_7*[1]!Jaitekoormus_EN(G$5,JaideJ_1,hJ_1))^2+(tuuletegur R_7*[1]!Tuulekoormus_en(G$5,QJ_1,hJ_1,zo,G$4,JaideJ_1,jaitetegur R_7))^2)</f>
        <v>3.39E-2</v>
      </c>
      <c r="H50" s="6">
        <f>SQRT((kaalutegur R_7*[1]!juhe(H5,6)+jaitetegur R_7*[1]!Jaitekoormus_EN(H$5,JaideJ_1,hJ_1))^2+(tuuletegur R_7*[1]!Tuulekoormus_en(H$5,QJ_1,hJ_1,zo,H$4,JaideJ_1,jaitetegur R_7))^2)</f>
        <v>3.39E-2</v>
      </c>
      <c r="I50" s="6">
        <f>SQRT((kaalutegur R_7*[1]!juhe(I5,6)+jaitetegur R_7*[1]!Jaitekoormus_EN(I$5,JaideJ_1,hJ_1))^2+(tuuletegur R_7*[1]!Tuulekoormus_en(I$5,QJ_1,hJ_1,zo,I$4,JaideJ_1,jaitetegur R_7))^2)</f>
        <v>3.39E-2</v>
      </c>
      <c r="J50" s="6">
        <f>SQRT((kaalutegur R_7*[1]!juhe(J5,6)+jaitetegur R_7*[1]!Jaitekoormus_EN(J$5,JaideJ_1,hJ_1))^2+(tuuletegur R_7*[1]!Tuulekoormus_en(J$5,QJ_1,hJ_1,zo,J$4,JaideJ_1,jaitetegur R_7))^2)</f>
        <v>3.39E-2</v>
      </c>
      <c r="K50" s="6">
        <f>SQRT((kaalutegur R_7*[1]!juhe(K5,6)+jaitetegur R_7*[1]!Jaitekoormus_EN(K$5,JaideJ_1,hJ_1))^2+(tuuletegur R_7*[1]!Tuulekoormus_en(K$5,QJ_1,hJ_1,zo,K$4,JaideJ_1,jaitetegur R_7))^2)</f>
        <v>3.39E-2</v>
      </c>
      <c r="L50" s="6">
        <f>SQRT((kaalutegur R_7*[1]!juhe(L5,6)+jaitetegur R_7*[1]!Jaitekoormus_EN(L$5,JaideJ_1,hJ_1))^2+(tuuletegur R_7*[1]!Tuulekoormus_en(L$5,QJ_1,hJ_1,zo,L$4,JaideJ_1,jaitetegur R_7))^2)</f>
        <v>3.39E-2</v>
      </c>
      <c r="M50" s="6">
        <f>SQRT((kaalutegur R_7*[1]!juhe(M5,6)+jaitetegur R_7*[1]!Jaitekoormus_EN(M$5,JaideJ_1,hJ_1))^2+(tuuletegur R_7*[1]!Tuulekoormus_en(M$5,QJ_1,hJ_1,zo,M$4,JaideJ_1,jaitetegur R_7))^2)</f>
        <v>3.39E-2</v>
      </c>
      <c r="N50" s="6">
        <f>SQRT((kaalutegur R_7*[1]!juhe(N5,6)+jaitetegur R_7*[1]!Jaitekoormus_EN(N$5,JaideJ_1,hJ_1))^2+(tuuletegur R_7*[1]!Tuulekoormus_en(N$5,QJ_1,hJ_1,zo,N$4,JaideJ_1,jaitetegur R_7))^2)</f>
        <v>3.39E-2</v>
      </c>
      <c r="O50" s="6">
        <f>SQRT((kaalutegur R_7*[1]!juhe(O5,6)+jaitetegur R_7*[1]!Jaitekoormus_EN(O$5,JaideJ_1,hJ_1))^2+(tuuletegur R_7*[1]!Tuulekoormus_en(O$5,QJ_1,hJ_1,zo,O$4,JaideJ_1,jaitetegur R_7))^2)</f>
        <v>3.39E-2</v>
      </c>
      <c r="P50" s="6">
        <f>SQRT((kaalutegur R_7*[1]!juhe(P5,6)+jaitetegur R_7*[1]!Jaitekoormus_EN(P$5,JaideJ_1,hJ_1))^2+(tuuletegur R_7*[1]!Tuulekoormus_en(P$5,QJ_1,hJ_1,zo,P$4,JaideJ_1,jaitetegur R_7))^2)</f>
        <v>3.39E-2</v>
      </c>
      <c r="Q50" s="6">
        <f>SQRT((kaalutegur R_7*[1]!juhe(Q5,6)+jaitetegur R_7*[1]!Jaitekoormus_EN(Q$5,JaideJ_1,hJ_1))^2+(tuuletegur R_7*[1]!Tuulekoormus_en(Q$5,QJ_1,hJ_1,zo,Q$4,JaideJ_1,jaitetegur R_7))^2)</f>
        <v>3.39E-2</v>
      </c>
      <c r="R50" s="6" t="e">
        <f>SQRT((kaalutegur R_7*[1]!juhe(R5,6)+jaitetegur R_7*[1]!Jaitekoormus_EN(R$5,JaideJ_1,hJ_1))^2+(tuuletegur R_7*[1]!Tuulekoormus_en(R$5,QJ_1,hJ_1,zo,R$4,JaideJ_1,jaitetegur R_7))^2)</f>
        <v>#VALUE!</v>
      </c>
      <c r="S50" s="6">
        <f>SQRT((kaalutegur R_7*[1]!juhe(S5,6)+jaitetegur R_7*[1]!Jaitekoormus_EN(S$5,JaideJ_1,hJ_1))^2+(tuuletegur R_7*[1]!Tuulekoormus_en(S$5,QJ_1,hJ_1,zo,S$4,JaideJ_1,jaitetegur R_7))^2)</f>
        <v>3.39E-2</v>
      </c>
      <c r="T50" s="6">
        <f>SQRT((kaalutegur R_7*[1]!juhe(T5,6)+jaitetegur R_7*[1]!Jaitekoormus_EN(T$5,JaideJ_1,hJ_1))^2+(tuuletegur R_7*[1]!Tuulekoormus_en(T$5,QJ_1,hJ_1,zo,T$4,JaideJ_1,jaitetegur R_7))^2)</f>
        <v>3.39E-2</v>
      </c>
    </row>
    <row r="51" spans="1:20" x14ac:dyDescent="0.2">
      <c r="A51" s="172"/>
      <c r="B51" s="173"/>
      <c r="C51" s="76" t="s">
        <v>104</v>
      </c>
      <c r="D51" s="3">
        <f>[1]!Olekuvorrand(D$4,D$5,D$6,5,D$9,Lähteandmed!$C42,D50)</f>
        <v>64.999997615814209</v>
      </c>
      <c r="E51" s="3">
        <f>[1]!Olekuvorrand(E$4,E$5,E$6,5,E$9,Lähteandmed!$C42,E50)</f>
        <v>64.999997615814209</v>
      </c>
      <c r="F51" s="3">
        <f>[1]!Olekuvorrand(F$4,F$5,F$6,5,F$9,Lähteandmed!$C42,F50)</f>
        <v>64.999997615814209</v>
      </c>
      <c r="G51" s="3">
        <f>[1]!Olekuvorrand(G$4,G$5,G$6,5,G$9,Lähteandmed!$C42,G50)</f>
        <v>64.999997615814209</v>
      </c>
      <c r="H51" s="3">
        <f>[1]!Olekuvorrand(H$4,H$5,H$6,5,H$9,Lähteandmed!$C42,H50)</f>
        <v>64.999997615814209</v>
      </c>
      <c r="I51" s="3">
        <f>[1]!Olekuvorrand(I$4,I$5,I$6,5,I$9,Lähteandmed!$C42,I50)</f>
        <v>64.999997615814209</v>
      </c>
      <c r="J51" s="3">
        <f>[1]!Olekuvorrand(J$4,J$5,J$6,5,J$9,Lähteandmed!$C42,J50)</f>
        <v>64.999997615814209</v>
      </c>
      <c r="K51" s="3">
        <f>[1]!Olekuvorrand(K$4,K$5,K$6,5,K$9,Lähteandmed!$C42,K50)</f>
        <v>64.999997615814209</v>
      </c>
      <c r="L51" s="3">
        <f>[1]!Olekuvorrand(L$4,L$5,L$6,5,L$9,Lähteandmed!$C42,L50)</f>
        <v>64.999997615814209</v>
      </c>
      <c r="M51" s="3">
        <f>[1]!Olekuvorrand(M$4,M$5,M$6,5,M$9,Lähteandmed!$C42,M50)</f>
        <v>64.999997615814209</v>
      </c>
      <c r="N51" s="3">
        <f>[1]!Olekuvorrand(N$4,N$5,N$6,5,N$9,Lähteandmed!$C42,N50)</f>
        <v>64.999997615814209</v>
      </c>
      <c r="O51" s="3">
        <f>[1]!Olekuvorrand(O$4,O$5,O$6,5,O$9,Lähteandmed!$C42,O50)</f>
        <v>64.999997615814209</v>
      </c>
      <c r="P51" s="3">
        <f>[1]!Olekuvorrand(P$4,P$5,P$6,5,P$9,Lähteandmed!$C42,P50)</f>
        <v>64.999997615814209</v>
      </c>
      <c r="Q51" s="3">
        <f>[1]!Olekuvorrand(Q$4,Q$5,Q$6,5,Q$9,Lähteandmed!$C42,Q50)</f>
        <v>64.999997615814209</v>
      </c>
      <c r="R51" s="3" t="e">
        <f>[1]!Olekuvorrand(R$4,R$5,R$6,5,R$9,Lähteandmed!$C42,R50)</f>
        <v>#VALUE!</v>
      </c>
      <c r="S51" s="3">
        <f>[1]!Olekuvorrand(S$4,S$5,S$6,5,S$9,Lähteandmed!$C42,S50)</f>
        <v>64.999997615814209</v>
      </c>
      <c r="T51" s="3">
        <f>[1]!Olekuvorrand(T$4,T$5,T$6,5,T$9,Lähteandmed!$C42,T50)</f>
        <v>64.999997615814209</v>
      </c>
    </row>
    <row r="52" spans="1:20" x14ac:dyDescent="0.2">
      <c r="A52" s="172"/>
      <c r="B52" s="173"/>
      <c r="C52" s="76" t="s">
        <v>105</v>
      </c>
      <c r="D52" s="3">
        <f>[1]!ripe(D51,D$9+Lähteandmed!$E42*D$11,D$4,0)</f>
        <v>13.037936817870277</v>
      </c>
      <c r="E52" s="3">
        <f>[1]!ripe(E51,E$9+Lähteandmed!$E42*E$11,E$4,0)</f>
        <v>12.818590385010618</v>
      </c>
      <c r="F52" s="3">
        <f>[1]!ripe(F51,F$9+Lähteandmed!$E42*F$11,F$4,0)</f>
        <v>12.639531528524541</v>
      </c>
      <c r="G52" s="3">
        <f>[1]!ripe(G51,G$9+Lähteandmed!$E42*G$11,G$4,0)</f>
        <v>8.1132649601034892</v>
      </c>
      <c r="H52" s="3">
        <f>[1]!ripe(H51,H$9+Lähteandmed!$E42*H$11,H$4,0)</f>
        <v>12.043800165288609</v>
      </c>
      <c r="I52" s="3">
        <f>[1]!ripe(I51,I$9+Lähteandmed!$E42*I$11,I$4,0)</f>
        <v>11.603795706164124</v>
      </c>
      <c r="J52" s="3">
        <f>[1]!ripe(J51,J$9+Lähteandmed!$E42*J$11,J$4,0)</f>
        <v>10.871880700341123</v>
      </c>
      <c r="K52" s="3">
        <f>[1]!ripe(K51,K$9+Lähteandmed!$E42*K$11,K$4,0)</f>
        <v>14.370219899397192</v>
      </c>
      <c r="L52" s="3">
        <f>[1]!ripe(L51,L$9+Lähteandmed!$E42*L$11,L$4,0)</f>
        <v>10.882241303838416</v>
      </c>
      <c r="M52" s="3">
        <f>[1]!ripe(M51,M$9+Lähteandmed!$E42*M$11,M$4,0)</f>
        <v>14.194987708210759</v>
      </c>
      <c r="N52" s="3">
        <f>[1]!ripe(N51,N$9+Lähteandmed!$E42*N$11,N$4,0)</f>
        <v>13.886699838312222</v>
      </c>
      <c r="O52" s="3">
        <f>[1]!ripe(O51,O$9+Lähteandmed!$E42*O$11,O$4,0)</f>
        <v>10.830382799485136</v>
      </c>
      <c r="P52" s="3">
        <f>[1]!ripe(P51,P$9+Lähteandmed!$E42*P$11,P$4,0)</f>
        <v>8.4505055127681086</v>
      </c>
      <c r="Q52" s="3">
        <f>[1]!ripe(Q51,Q$9+Lähteandmed!$E42*Q$11,Q$4,0)</f>
        <v>9.0224679707190507</v>
      </c>
      <c r="R52" s="3" t="e">
        <f>[1]!ripe(R51,R$9+Lähteandmed!$E42*R$11,R$4,0)</f>
        <v>#VALUE!</v>
      </c>
      <c r="S52" s="3">
        <f>[1]!ripe(S51,S$9+Lähteandmed!$E42*S$11,S$4,0)</f>
        <v>5.5197911977724274</v>
      </c>
      <c r="T52" s="3">
        <f>[1]!ripe(T51,T$9+Lähteandmed!$E42*T$11,T$4,0)</f>
        <v>2.1806094505017319</v>
      </c>
    </row>
    <row r="53" spans="1:20" x14ac:dyDescent="0.2">
      <c r="A53" s="73"/>
      <c r="B53" s="173"/>
      <c r="C53" s="76" t="s">
        <v>49</v>
      </c>
      <c r="D53" s="50">
        <f t="shared" ref="D53:K53" si="40">D52/D$4^2*1000000</f>
        <v>65.192310083547369</v>
      </c>
      <c r="E53" s="50">
        <f t="shared" ref="E53:T53" si="41">E52/E$4^2*1000000</f>
        <v>65.192310083547369</v>
      </c>
      <c r="F53" s="50">
        <f t="shared" si="41"/>
        <v>65.192310083547369</v>
      </c>
      <c r="G53" s="50">
        <f t="shared" si="41"/>
        <v>65.192310083547369</v>
      </c>
      <c r="H53" s="50">
        <f t="shared" si="41"/>
        <v>65.192310083547369</v>
      </c>
      <c r="I53" s="50">
        <f t="shared" si="41"/>
        <v>65.192310083547369</v>
      </c>
      <c r="J53" s="50">
        <f t="shared" si="41"/>
        <v>65.192310083547369</v>
      </c>
      <c r="K53" s="50">
        <f t="shared" si="41"/>
        <v>65.192310083547369</v>
      </c>
      <c r="L53" s="50">
        <f t="shared" si="41"/>
        <v>65.192310083547369</v>
      </c>
      <c r="M53" s="50">
        <f t="shared" si="41"/>
        <v>65.192310083547369</v>
      </c>
      <c r="N53" s="50">
        <f t="shared" si="41"/>
        <v>65.192310083547369</v>
      </c>
      <c r="O53" s="50">
        <f t="shared" si="41"/>
        <v>65.192310083547369</v>
      </c>
      <c r="P53" s="50">
        <f t="shared" si="41"/>
        <v>65.192310083547383</v>
      </c>
      <c r="Q53" s="50">
        <f t="shared" si="41"/>
        <v>65.192310083547369</v>
      </c>
      <c r="R53" s="50" t="e">
        <f t="shared" si="41"/>
        <v>#VALUE!</v>
      </c>
      <c r="S53" s="50">
        <f t="shared" si="41"/>
        <v>65.192310083547369</v>
      </c>
      <c r="T53" s="50">
        <f t="shared" si="41"/>
        <v>65.192310083547369</v>
      </c>
    </row>
    <row r="54" spans="1:20" ht="38.25" x14ac:dyDescent="0.2">
      <c r="A54" s="159">
        <v>8</v>
      </c>
      <c r="B54" s="174" t="str">
        <f>Lähteandmed!B45</f>
        <v>T+35</v>
      </c>
      <c r="C54" s="77" t="s">
        <v>222</v>
      </c>
      <c r="D54" s="9">
        <f>SQRT((kaalutegur R_8*[1]!juhe(D5,6)+jaitetegur R_8*[1]!Jaitekoormus_EN(D$5,JaideJ_1,hJ_1))^2+(tuuletegur R_8*[1]!Tuulekoormus_en(D$5,QJ_1,hJ_1,zo,D$4,JaideJ_1,jaitetegur R_8))^2)</f>
        <v>3.39E-2</v>
      </c>
      <c r="E54" s="9">
        <f>SQRT((kaalutegur R_8*[1]!juhe(E5,6)+jaitetegur R_8*[1]!Jaitekoormus_EN(E$5,JaideJ_1,hJ_1))^2+(tuuletegur R_8*[1]!Tuulekoormus_en(E$5,QJ_1,hJ_1,zo,E$4,JaideJ_1,jaitetegur R_8))^2)</f>
        <v>3.39E-2</v>
      </c>
      <c r="F54" s="9">
        <f>SQRT((kaalutegur R_8*[1]!juhe(F5,6)+jaitetegur R_8*[1]!Jaitekoormus_EN(F$5,JaideJ_1,hJ_1))^2+(tuuletegur R_8*[1]!Tuulekoormus_en(F$5,QJ_1,hJ_1,zo,F$4,JaideJ_1,jaitetegur R_8))^2)</f>
        <v>3.39E-2</v>
      </c>
      <c r="G54" s="9">
        <f>SQRT((kaalutegur R_8*[1]!juhe(G5,6)+jaitetegur R_8*[1]!Jaitekoormus_EN(G$5,JaideJ_1,hJ_1))^2+(tuuletegur R_8*[1]!Tuulekoormus_en(G$5,QJ_1,hJ_1,zo,G$4,JaideJ_1,jaitetegur R_8))^2)</f>
        <v>3.39E-2</v>
      </c>
      <c r="H54" s="9">
        <f>SQRT((kaalutegur R_8*[1]!juhe(H5,6)+jaitetegur R_8*[1]!Jaitekoormus_EN(H$5,JaideJ_1,hJ_1))^2+(tuuletegur R_8*[1]!Tuulekoormus_en(H$5,QJ_1,hJ_1,zo,H$4,JaideJ_1,jaitetegur R_8))^2)</f>
        <v>3.39E-2</v>
      </c>
      <c r="I54" s="9">
        <f>SQRT((kaalutegur R_8*[1]!juhe(I5,6)+jaitetegur R_8*[1]!Jaitekoormus_EN(I$5,JaideJ_1,hJ_1))^2+(tuuletegur R_8*[1]!Tuulekoormus_en(I$5,QJ_1,hJ_1,zo,I$4,JaideJ_1,jaitetegur R_8))^2)</f>
        <v>3.39E-2</v>
      </c>
      <c r="J54" s="9">
        <f>SQRT((kaalutegur R_8*[1]!juhe(J5,6)+jaitetegur R_8*[1]!Jaitekoormus_EN(J$5,JaideJ_1,hJ_1))^2+(tuuletegur R_8*[1]!Tuulekoormus_en(J$5,QJ_1,hJ_1,zo,J$4,JaideJ_1,jaitetegur R_8))^2)</f>
        <v>3.39E-2</v>
      </c>
      <c r="K54" s="9">
        <f>SQRT((kaalutegur R_8*[1]!juhe(K5,6)+jaitetegur R_8*[1]!Jaitekoormus_EN(K$5,JaideJ_1,hJ_1))^2+(tuuletegur R_8*[1]!Tuulekoormus_en(K$5,QJ_1,hJ_1,zo,K$4,JaideJ_1,jaitetegur R_8))^2)</f>
        <v>3.39E-2</v>
      </c>
      <c r="L54" s="9">
        <f>SQRT((kaalutegur R_8*[1]!juhe(L5,6)+jaitetegur R_8*[1]!Jaitekoormus_EN(L$5,JaideJ_1,hJ_1))^2+(tuuletegur R_8*[1]!Tuulekoormus_en(L$5,QJ_1,hJ_1,zo,L$4,JaideJ_1,jaitetegur R_8))^2)</f>
        <v>3.39E-2</v>
      </c>
      <c r="M54" s="9">
        <f>SQRT((kaalutegur R_8*[1]!juhe(M5,6)+jaitetegur R_8*[1]!Jaitekoormus_EN(M$5,JaideJ_1,hJ_1))^2+(tuuletegur R_8*[1]!Tuulekoormus_en(M$5,QJ_1,hJ_1,zo,M$4,JaideJ_1,jaitetegur R_8))^2)</f>
        <v>3.39E-2</v>
      </c>
      <c r="N54" s="9">
        <f>SQRT((kaalutegur R_8*[1]!juhe(N5,6)+jaitetegur R_8*[1]!Jaitekoormus_EN(N$5,JaideJ_1,hJ_1))^2+(tuuletegur R_8*[1]!Tuulekoormus_en(N$5,QJ_1,hJ_1,zo,N$4,JaideJ_1,jaitetegur R_8))^2)</f>
        <v>3.39E-2</v>
      </c>
      <c r="O54" s="9">
        <f>SQRT((kaalutegur R_8*[1]!juhe(O5,6)+jaitetegur R_8*[1]!Jaitekoormus_EN(O$5,JaideJ_1,hJ_1))^2+(tuuletegur R_8*[1]!Tuulekoormus_en(O$5,QJ_1,hJ_1,zo,O$4,JaideJ_1,jaitetegur R_8))^2)</f>
        <v>3.39E-2</v>
      </c>
      <c r="P54" s="9">
        <f>SQRT((kaalutegur R_8*[1]!juhe(P5,6)+jaitetegur R_8*[1]!Jaitekoormus_EN(P$5,JaideJ_1,hJ_1))^2+(tuuletegur R_8*[1]!Tuulekoormus_en(P$5,QJ_1,hJ_1,zo,P$4,JaideJ_1,jaitetegur R_8))^2)</f>
        <v>3.39E-2</v>
      </c>
      <c r="Q54" s="9">
        <f>SQRT((kaalutegur R_8*[1]!juhe(Q5,6)+jaitetegur R_8*[1]!Jaitekoormus_EN(Q$5,JaideJ_1,hJ_1))^2+(tuuletegur R_8*[1]!Tuulekoormus_en(Q$5,QJ_1,hJ_1,zo,Q$4,JaideJ_1,jaitetegur R_8))^2)</f>
        <v>3.39E-2</v>
      </c>
      <c r="R54" s="9" t="e">
        <f>SQRT((kaalutegur R_8*[1]!juhe(R5,6)+jaitetegur R_8*[1]!Jaitekoormus_EN(R$5,JaideJ_1,hJ_1))^2+(tuuletegur R_8*[1]!Tuulekoormus_en(R$5,QJ_1,hJ_1,zo,R$4,JaideJ_1,jaitetegur R_8))^2)</f>
        <v>#VALUE!</v>
      </c>
      <c r="S54" s="9">
        <f>SQRT((kaalutegur R_8*[1]!juhe(S5,6)+jaitetegur R_8*[1]!Jaitekoormus_EN(S$5,JaideJ_1,hJ_1))^2+(tuuletegur R_8*[1]!Tuulekoormus_en(S$5,QJ_1,hJ_1,zo,S$4,JaideJ_1,jaitetegur R_8))^2)</f>
        <v>3.39E-2</v>
      </c>
      <c r="T54" s="9">
        <f>SQRT((kaalutegur R_8*[1]!juhe(T5,6)+jaitetegur R_8*[1]!Jaitekoormus_EN(T$5,JaideJ_1,hJ_1))^2+(tuuletegur R_8*[1]!Tuulekoormus_en(T$5,QJ_1,hJ_1,zo,T$4,JaideJ_1,jaitetegur R_8))^2)</f>
        <v>3.39E-2</v>
      </c>
    </row>
    <row r="55" spans="1:20" x14ac:dyDescent="0.2">
      <c r="A55" s="159"/>
      <c r="B55" s="174"/>
      <c r="C55" s="77" t="s">
        <v>104</v>
      </c>
      <c r="D55" s="22">
        <f>[1]!Olekuvorrand(D$4,D$5,D$6,5,D$9,Lähteandmed!$C45,D54)</f>
        <v>58.937966823577881</v>
      </c>
      <c r="E55" s="22">
        <f>[1]!Olekuvorrand(E$4,E$5,E$6,5,E$9,Lähteandmed!$C45,E54)</f>
        <v>58.859646320343018</v>
      </c>
      <c r="F55" s="22">
        <f>[1]!Olekuvorrand(F$4,F$5,F$6,5,F$9,Lähteandmed!$C45,F54)</f>
        <v>58.794200420379639</v>
      </c>
      <c r="G55" s="22">
        <f>[1]!Olekuvorrand(G$4,G$5,G$6,5,G$9,Lähteandmed!$C45,G54)</f>
        <v>56.4766526222229</v>
      </c>
      <c r="H55" s="22">
        <f>[1]!Olekuvorrand(H$4,H$5,H$6,5,H$9,Lähteandmed!$C45,H54)</f>
        <v>58.565676212310791</v>
      </c>
      <c r="I55" s="22">
        <f>[1]!Olekuvorrand(I$4,I$5,I$6,5,I$9,Lähteandmed!$C45,I54)</f>
        <v>58.38543176651001</v>
      </c>
      <c r="J55" s="22">
        <f>[1]!Olekuvorrand(J$4,J$5,J$6,5,J$9,Lähteandmed!$C45,J54)</f>
        <v>58.061659336090088</v>
      </c>
      <c r="K55" s="22">
        <f>[1]!Olekuvorrand(K$4,K$5,K$6,5,K$9,Lähteandmed!$C45,K54)</f>
        <v>59.373080730438232</v>
      </c>
      <c r="L55" s="22">
        <f>[1]!Olekuvorrand(L$4,L$5,L$6,5,L$9,Lähteandmed!$C45,L54)</f>
        <v>58.066427707672119</v>
      </c>
      <c r="M55" s="22">
        <f>[1]!Olekuvorrand(M$4,M$5,M$6,5,M$9,Lähteandmed!$C45,M54)</f>
        <v>59.319555759429932</v>
      </c>
      <c r="N55" s="22">
        <f>[1]!Olekuvorrand(N$4,N$5,N$6,5,N$9,Lähteandmed!$C45,N54)</f>
        <v>59.222757816314697</v>
      </c>
      <c r="O55" s="22">
        <f>[1]!Olekuvorrand(O$4,O$5,O$6,5,O$9,Lähteandmed!$C45,O54)</f>
        <v>58.042347431182861</v>
      </c>
      <c r="P55" s="22">
        <f>[1]!Olekuvorrand(P$4,P$5,P$6,5,P$9,Lähteandmed!$C45,P54)</f>
        <v>56.709825992584229</v>
      </c>
      <c r="Q55" s="22">
        <f>[1]!Olekuvorrand(Q$4,Q$5,Q$6,5,Q$9,Lähteandmed!$C45,Q54)</f>
        <v>57.07627534866333</v>
      </c>
      <c r="R55" s="22" t="e">
        <f>[1]!Olekuvorrand(R$4,R$5,R$6,5,R$9,Lähteandmed!$C45,R54)</f>
        <v>#VALUE!</v>
      </c>
      <c r="S55" s="22">
        <f>[1]!Olekuvorrand(S$4,S$5,S$6,5,S$9,Lähteandmed!$C45,S54)</f>
        <v>54.085195064544678</v>
      </c>
      <c r="T55" s="22">
        <f>[1]!Olekuvorrand(T$4,T$5,T$6,5,T$9,Lähteandmed!$C45,T54)</f>
        <v>47.293007373809814</v>
      </c>
    </row>
    <row r="56" spans="1:20" x14ac:dyDescent="0.2">
      <c r="A56" s="159"/>
      <c r="B56" s="174"/>
      <c r="C56" s="77" t="s">
        <v>105</v>
      </c>
      <c r="D56" s="9">
        <f>[1]!ripe(D55,D$9+Lähteandmed!$E45*D$11,D$4,0)</f>
        <v>14.378946335449074</v>
      </c>
      <c r="E56" s="9">
        <f>[1]!ripe(E55,E$9+Lähteandmed!$E45*E$11,E$4,0)</f>
        <v>14.155850341489673</v>
      </c>
      <c r="F56" s="9">
        <f>[1]!ripe(F55,F$9+Lähteandmed!$E45*F$11,F$4,0)</f>
        <v>13.973648988248264</v>
      </c>
      <c r="G56" s="9">
        <f>[1]!ripe(G55,G$9+Lähteandmed!$E45*G$11,G$4,0)</f>
        <v>9.3377029016001725</v>
      </c>
      <c r="H56" s="9">
        <f>[1]!ripe(H55,H$9+Lähteandmed!$E45*H$11,H$4,0)</f>
        <v>13.36699296685563</v>
      </c>
      <c r="I56" s="9">
        <f>[1]!ripe(I55,I$9+Lähteandmed!$E45*I$11,I$4,0)</f>
        <v>12.918405677830416</v>
      </c>
      <c r="J56" s="9">
        <f>[1]!ripe(J55,J$9+Lähteandmed!$E45*J$11,J$4,0)</f>
        <v>12.171064824568917</v>
      </c>
      <c r="K56" s="9">
        <f>[1]!ripe(K55,K$9+Lähteandmed!$E45*K$11,K$4,0)</f>
        <v>15.732117109440903</v>
      </c>
      <c r="L56" s="9">
        <f>[1]!ripe(L55,L$9+Lähteandmed!$E45*L$11,L$4,0)</f>
        <v>12.181663083619537</v>
      </c>
      <c r="M56" s="9">
        <f>[1]!ripe(M55,M$9+Lähteandmed!$E45*M$11,M$4,0)</f>
        <v>15.554300017554249</v>
      </c>
      <c r="N56" s="9">
        <f>[1]!ripe(N55,N$9+Lähteandmed!$E45*N$11,N$4,0)</f>
        <v>15.241361423617523</v>
      </c>
      <c r="O56" s="9">
        <f>[1]!ripe(O55,O$9+Lähteandmed!$E45*O$11,O$4,0)</f>
        <v>12.128642057069582</v>
      </c>
      <c r="P56" s="9">
        <f>[1]!ripe(P55,P$9+Lähteandmed!$E45*P$11,P$4,0)</f>
        <v>9.6858494726148496</v>
      </c>
      <c r="Q56" s="9">
        <f>[1]!ripe(Q55,Q$9+Lähteandmed!$E45*Q$11,Q$4,0)</f>
        <v>10.275029213153321</v>
      </c>
      <c r="R56" s="9" t="e">
        <f>[1]!ripe(R55,R$9+Lähteandmed!$E45*R$11,R$4,0)</f>
        <v>#VALUE!</v>
      </c>
      <c r="S56" s="9">
        <f>[1]!ripe(S55,S$9+Lähteandmed!$E45*S$11,S$4,0)</f>
        <v>6.6337269241023957</v>
      </c>
      <c r="T56" s="9">
        <f>[1]!ripe(T55,T$9+Lähteandmed!$E45*T$11,T$4,0)</f>
        <v>2.9970521426837378</v>
      </c>
    </row>
    <row r="57" spans="1:20" x14ac:dyDescent="0.2">
      <c r="A57" s="72"/>
      <c r="B57" s="174"/>
      <c r="C57" s="77" t="s">
        <v>49</v>
      </c>
      <c r="D57" s="51">
        <f t="shared" ref="D57:K57" si="42">D56/D$4^2*1000000</f>
        <v>71.897627766569073</v>
      </c>
      <c r="E57" s="51">
        <f t="shared" ref="E57:T57" si="43">E56/E$4^2*1000000</f>
        <v>71.993297019446047</v>
      </c>
      <c r="F57" s="51">
        <f t="shared" si="43"/>
        <v>72.073435299770992</v>
      </c>
      <c r="G57" s="51">
        <f t="shared" si="43"/>
        <v>75.031004906487553</v>
      </c>
      <c r="H57" s="51">
        <f t="shared" si="43"/>
        <v>72.354667000485478</v>
      </c>
      <c r="I57" s="51">
        <f t="shared" si="43"/>
        <v>72.578036537371943</v>
      </c>
      <c r="J57" s="51">
        <f t="shared" si="43"/>
        <v>72.982757441898428</v>
      </c>
      <c r="K57" s="51">
        <f t="shared" si="43"/>
        <v>71.370728078585302</v>
      </c>
      <c r="L57" s="51">
        <f t="shared" si="43"/>
        <v>72.976764152483142</v>
      </c>
      <c r="M57" s="51">
        <f t="shared" si="43"/>
        <v>71.435127012500786</v>
      </c>
      <c r="N57" s="51">
        <f t="shared" si="43"/>
        <v>71.551885731884184</v>
      </c>
      <c r="O57" s="51">
        <f t="shared" si="43"/>
        <v>73.007040334199715</v>
      </c>
      <c r="P57" s="51">
        <f t="shared" si="43"/>
        <v>74.722500480853626</v>
      </c>
      <c r="Q57" s="51">
        <f t="shared" si="43"/>
        <v>74.24275627858114</v>
      </c>
      <c r="R57" s="51" t="e">
        <f t="shared" si="43"/>
        <v>#VALUE!</v>
      </c>
      <c r="S57" s="51">
        <f t="shared" si="43"/>
        <v>78.348612683064459</v>
      </c>
      <c r="T57" s="51">
        <f t="shared" si="43"/>
        <v>89.600984063167559</v>
      </c>
    </row>
    <row r="58" spans="1:20" ht="38.25" x14ac:dyDescent="0.2">
      <c r="A58" s="172">
        <v>9</v>
      </c>
      <c r="B58" s="173" t="str">
        <f>Lähteandmed!B48</f>
        <v>T +15</v>
      </c>
      <c r="C58" s="76" t="s">
        <v>222</v>
      </c>
      <c r="D58" s="6">
        <f>SQRT((kaalutegur R_9*[1]!juhe(D5,6)+jaitetegur R_9*[1]!Jaitekoormus_EN(D$5,JaideJ_1,hJ_1))^2+(tuuletegur R_9*[1]!Tuulekoormus_en(D$5,QJ_1,hJ_1,zo,D$4,JaideJ_1,jaitetegur R_9))^2)</f>
        <v>3.39E-2</v>
      </c>
      <c r="E58" s="6">
        <f>SQRT((kaalutegur R_9*[1]!juhe(E5,6)+jaitetegur R_9*[1]!Jaitekoormus_EN(E$5,JaideJ_1,hJ_1))^2+(tuuletegur R_9*[1]!Tuulekoormus_en(E$5,QJ_1,hJ_1,zo,E$4,JaideJ_1,jaitetegur R_9))^2)</f>
        <v>3.39E-2</v>
      </c>
      <c r="F58" s="6">
        <f>SQRT((kaalutegur R_9*[1]!juhe(F5,6)+jaitetegur R_9*[1]!Jaitekoormus_EN(F$5,JaideJ_1,hJ_1))^2+(tuuletegur R_9*[1]!Tuulekoormus_en(F$5,QJ_1,hJ_1,zo,F$4,JaideJ_1,jaitetegur R_9))^2)</f>
        <v>3.39E-2</v>
      </c>
      <c r="G58" s="6">
        <f>SQRT((kaalutegur R_9*[1]!juhe(G5,6)+jaitetegur R_9*[1]!Jaitekoormus_EN(G$5,JaideJ_1,hJ_1))^2+(tuuletegur R_9*[1]!Tuulekoormus_en(G$5,QJ_1,hJ_1,zo,G$4,JaideJ_1,jaitetegur R_9))^2)</f>
        <v>3.39E-2</v>
      </c>
      <c r="H58" s="6">
        <f>SQRT((kaalutegur R_9*[1]!juhe(H5,6)+jaitetegur R_9*[1]!Jaitekoormus_EN(H$5,JaideJ_1,hJ_1))^2+(tuuletegur R_9*[1]!Tuulekoormus_en(H$5,QJ_1,hJ_1,zo,H$4,JaideJ_1,jaitetegur R_9))^2)</f>
        <v>3.39E-2</v>
      </c>
      <c r="I58" s="6">
        <f>SQRT((kaalutegur R_9*[1]!juhe(I5,6)+jaitetegur R_9*[1]!Jaitekoormus_EN(I$5,JaideJ_1,hJ_1))^2+(tuuletegur R_9*[1]!Tuulekoormus_en(I$5,QJ_1,hJ_1,zo,I$4,JaideJ_1,jaitetegur R_9))^2)</f>
        <v>3.39E-2</v>
      </c>
      <c r="J58" s="6">
        <f>SQRT((kaalutegur R_9*[1]!juhe(J5,6)+jaitetegur R_9*[1]!Jaitekoormus_EN(J$5,JaideJ_1,hJ_1))^2+(tuuletegur R_9*[1]!Tuulekoormus_en(J$5,QJ_1,hJ_1,zo,J$4,JaideJ_1,jaitetegur R_9))^2)</f>
        <v>3.39E-2</v>
      </c>
      <c r="K58" s="6">
        <f>SQRT((kaalutegur R_9*[1]!juhe(K5,6)+jaitetegur R_9*[1]!Jaitekoormus_EN(K$5,JaideJ_1,hJ_1))^2+(tuuletegur R_9*[1]!Tuulekoormus_en(K$5,QJ_1,hJ_1,zo,K$4,JaideJ_1,jaitetegur R_9))^2)</f>
        <v>3.39E-2</v>
      </c>
      <c r="L58" s="6">
        <f>SQRT((kaalutegur R_9*[1]!juhe(L5,6)+jaitetegur R_9*[1]!Jaitekoormus_EN(L$5,JaideJ_1,hJ_1))^2+(tuuletegur R_9*[1]!Tuulekoormus_en(L$5,QJ_1,hJ_1,zo,L$4,JaideJ_1,jaitetegur R_9))^2)</f>
        <v>3.39E-2</v>
      </c>
      <c r="M58" s="6">
        <f>SQRT((kaalutegur R_9*[1]!juhe(M5,6)+jaitetegur R_9*[1]!Jaitekoormus_EN(M$5,JaideJ_1,hJ_1))^2+(tuuletegur R_9*[1]!Tuulekoormus_en(M$5,QJ_1,hJ_1,zo,M$4,JaideJ_1,jaitetegur R_9))^2)</f>
        <v>3.39E-2</v>
      </c>
      <c r="N58" s="6">
        <f>SQRT((kaalutegur R_9*[1]!juhe(N5,6)+jaitetegur R_9*[1]!Jaitekoormus_EN(N$5,JaideJ_1,hJ_1))^2+(tuuletegur R_9*[1]!Tuulekoormus_en(N$5,QJ_1,hJ_1,zo,N$4,JaideJ_1,jaitetegur R_9))^2)</f>
        <v>3.39E-2</v>
      </c>
      <c r="O58" s="6">
        <f>SQRT((kaalutegur R_9*[1]!juhe(O5,6)+jaitetegur R_9*[1]!Jaitekoormus_EN(O$5,JaideJ_1,hJ_1))^2+(tuuletegur R_9*[1]!Tuulekoormus_en(O$5,QJ_1,hJ_1,zo,O$4,JaideJ_1,jaitetegur R_9))^2)</f>
        <v>3.39E-2</v>
      </c>
      <c r="P58" s="6">
        <f>SQRT((kaalutegur R_9*[1]!juhe(P5,6)+jaitetegur R_9*[1]!Jaitekoormus_EN(P$5,JaideJ_1,hJ_1))^2+(tuuletegur R_9*[1]!Tuulekoormus_en(P$5,QJ_1,hJ_1,zo,P$4,JaideJ_1,jaitetegur R_9))^2)</f>
        <v>3.39E-2</v>
      </c>
      <c r="Q58" s="6">
        <f>SQRT((kaalutegur R_9*[1]!juhe(Q5,6)+jaitetegur R_9*[1]!Jaitekoormus_EN(Q$5,JaideJ_1,hJ_1))^2+(tuuletegur R_9*[1]!Tuulekoormus_en(Q$5,QJ_1,hJ_1,zo,Q$4,JaideJ_1,jaitetegur R_9))^2)</f>
        <v>3.39E-2</v>
      </c>
      <c r="R58" s="6" t="e">
        <f>SQRT((kaalutegur R_9*[1]!juhe(R5,6)+jaitetegur R_9*[1]!Jaitekoormus_EN(R$5,JaideJ_1,hJ_1))^2+(tuuletegur R_9*[1]!Tuulekoormus_en(R$5,QJ_1,hJ_1,zo,R$4,JaideJ_1,jaitetegur R_9))^2)</f>
        <v>#VALUE!</v>
      </c>
      <c r="S58" s="6">
        <f>SQRT((kaalutegur R_9*[1]!juhe(S5,6)+jaitetegur R_9*[1]!Jaitekoormus_EN(S$5,JaideJ_1,hJ_1))^2+(tuuletegur R_9*[1]!Tuulekoormus_en(S$5,QJ_1,hJ_1,zo,S$4,JaideJ_1,jaitetegur R_9))^2)</f>
        <v>3.39E-2</v>
      </c>
      <c r="T58" s="6">
        <f>SQRT((kaalutegur R_9*[1]!juhe(T5,6)+jaitetegur R_9*[1]!Jaitekoormus_EN(T$5,JaideJ_1,hJ_1))^2+(tuuletegur R_9*[1]!Tuulekoormus_en(T$5,QJ_1,hJ_1,zo,T$4,JaideJ_1,jaitetegur R_9))^2)</f>
        <v>3.39E-2</v>
      </c>
    </row>
    <row r="59" spans="1:20" x14ac:dyDescent="0.2">
      <c r="A59" s="172"/>
      <c r="B59" s="173"/>
      <c r="C59" s="76" t="s">
        <v>104</v>
      </c>
      <c r="D59" s="3">
        <f>[1]!Olekuvorrand(D$4,D$5,D$6,5,D$9,Lähteandmed!$C48,D58)</f>
        <v>62.80595064163208</v>
      </c>
      <c r="E59" s="3">
        <f>[1]!Olekuvorrand(E$4,E$5,E$6,5,E$9,Lähteandmed!$C48,E58)</f>
        <v>62.775552272796631</v>
      </c>
      <c r="F59" s="3">
        <f>[1]!Olekuvorrand(F$4,F$5,F$6,5,F$9,Lähteandmed!$C48,F58)</f>
        <v>62.750041484832764</v>
      </c>
      <c r="G59" s="3">
        <f>[1]!Olekuvorrand(G$4,G$5,G$6,5,G$9,Lähteandmed!$C48,G58)</f>
        <v>61.830699443817139</v>
      </c>
      <c r="H59" s="3">
        <f>[1]!Olekuvorrand(H$4,H$5,H$6,5,H$9,Lähteandmed!$C48,H58)</f>
        <v>62.661111354827881</v>
      </c>
      <c r="I59" s="3">
        <f>[1]!Olekuvorrand(I$4,I$5,I$6,5,I$9,Lähteandmed!$C48,I58)</f>
        <v>62.590658664703369</v>
      </c>
      <c r="J59" s="3">
        <f>[1]!Olekuvorrand(J$4,J$5,J$6,5,J$9,Lähteandmed!$C48,J58)</f>
        <v>62.463343143463135</v>
      </c>
      <c r="K59" s="3">
        <f>[1]!Olekuvorrand(K$4,K$5,K$6,5,K$9,Lähteandmed!$C48,K58)</f>
        <v>62.973916530609131</v>
      </c>
      <c r="L59" s="3">
        <f>[1]!Olekuvorrand(L$4,L$5,L$6,5,L$9,Lähteandmed!$C48,L58)</f>
        <v>62.465250492095947</v>
      </c>
      <c r="M59" s="3">
        <f>[1]!Olekuvorrand(M$4,M$5,M$6,5,M$9,Lähteandmed!$C48,M58)</f>
        <v>62.953293323516846</v>
      </c>
      <c r="N59" s="3">
        <f>[1]!Olekuvorrand(N$4,N$5,N$6,5,N$9,Lähteandmed!$C48,N58)</f>
        <v>62.915980815887451</v>
      </c>
      <c r="O59" s="3">
        <f>[1]!Olekuvorrand(O$4,O$5,O$6,5,O$9,Lähteandmed!$C48,O58)</f>
        <v>62.455713748931885</v>
      </c>
      <c r="P59" s="3">
        <f>[1]!Olekuvorrand(P$4,P$5,P$6,5,P$9,Lähteandmed!$C48,P58)</f>
        <v>61.924755573272705</v>
      </c>
      <c r="Q59" s="3">
        <f>[1]!Olekuvorrand(Q$4,Q$5,Q$6,5,Q$9,Lähteandmed!$C48,Q58)</f>
        <v>62.071859836578369</v>
      </c>
      <c r="R59" s="3" t="e">
        <f>[1]!Olekuvorrand(R$4,R$5,R$6,5,R$9,Lähteandmed!$C48,R58)</f>
        <v>#VALUE!</v>
      </c>
      <c r="S59" s="3">
        <f>[1]!Olekuvorrand(S$4,S$5,S$6,5,S$9,Lähteandmed!$C48,S58)</f>
        <v>60.849130153656006</v>
      </c>
      <c r="T59" s="3">
        <f>[1]!Olekuvorrand(T$4,T$5,T$6,5,T$9,Lähteandmed!$C48,T58)</f>
        <v>57.970702648162842</v>
      </c>
    </row>
    <row r="60" spans="1:20" x14ac:dyDescent="0.2">
      <c r="A60" s="172"/>
      <c r="B60" s="173"/>
      <c r="C60" s="76" t="s">
        <v>105</v>
      </c>
      <c r="D60" s="3">
        <f>[1]!ripe(D59,D$9+Lähteandmed!$E48*D$11,D$4,0)</f>
        <v>13.493400759305535</v>
      </c>
      <c r="E60" s="3">
        <f>[1]!ripe(E59,E$9+Lähteandmed!$E48*E$11,E$4,0)</f>
        <v>13.272815838290194</v>
      </c>
      <c r="F60" s="3">
        <f>[1]!ripe(F59,F$9+Lähteandmed!$E48*F$11,F$4,0)</f>
        <v>13.092732686362991</v>
      </c>
      <c r="G60" s="3">
        <f>[1]!ripe(G59,G$9+Lähteandmed!$E48*G$11,G$4,0)</f>
        <v>8.5291320946868279</v>
      </c>
      <c r="H60" s="3">
        <f>[1]!ripe(H59,H$9+Lähteandmed!$E48*H$11,H$4,0)</f>
        <v>12.493346592531925</v>
      </c>
      <c r="I60" s="3">
        <f>[1]!ripe(I59,I$9+Lähteandmed!$E48*I$11,I$4,0)</f>
        <v>12.050467423190806</v>
      </c>
      <c r="J60" s="3">
        <f>[1]!ripe(J59,J$9+Lähteandmed!$E48*J$11,J$4,0)</f>
        <v>11.313390927196052</v>
      </c>
      <c r="K60" s="3">
        <f>[1]!ripe(K59,K$9+Lähteandmed!$E48*K$11,K$4,0)</f>
        <v>14.832557837585529</v>
      </c>
      <c r="L60" s="3">
        <f>[1]!ripe(L59,L$9+Lähteandmed!$E48*L$11,L$4,0)</f>
        <v>11.323826499242426</v>
      </c>
      <c r="M60" s="3">
        <f>[1]!ripe(M59,M$9+Lähteandmed!$E48*M$11,M$4,0)</f>
        <v>14.65648766695319</v>
      </c>
      <c r="N60" s="3">
        <f>[1]!ripe(N59,N$9+Lähteandmed!$E48*N$11,N$4,0)</f>
        <v>14.34668020233565</v>
      </c>
      <c r="O60" s="3">
        <f>[1]!ripe(O59,O$9+Lähteandmed!$E48*O$11,O$4,0)</f>
        <v>11.271584517868526</v>
      </c>
      <c r="P60" s="3">
        <f>[1]!ripe(P59,P$9+Lähteandmed!$E48*P$11,P$4,0)</f>
        <v>8.8701656243505198</v>
      </c>
      <c r="Q60" s="3">
        <f>[1]!ripe(Q59,Q$9+Lähteandmed!$E48*Q$11,Q$4,0)</f>
        <v>9.4480880406921965</v>
      </c>
      <c r="R60" s="3" t="e">
        <f>[1]!ripe(R59,R$9+Lähteandmed!$E48*R$11,R$4,0)</f>
        <v>#VALUE!</v>
      </c>
      <c r="S60" s="3">
        <f>[1]!ripe(S59,S$9+Lähteandmed!$E48*S$11,S$4,0)</f>
        <v>5.8963277501090623</v>
      </c>
      <c r="T60" s="3">
        <f>[1]!ripe(T59,T$9+Lähteandmed!$E48*T$11,T$4,0)</f>
        <v>2.4450214092432847</v>
      </c>
    </row>
    <row r="61" spans="1:20" x14ac:dyDescent="0.2">
      <c r="A61" s="73"/>
      <c r="B61" s="173"/>
      <c r="C61" s="76" t="s">
        <v>49</v>
      </c>
      <c r="D61" s="50">
        <f t="shared" ref="D61:K61" si="44">D60/D$4^2*1000000</f>
        <v>67.469721526531515</v>
      </c>
      <c r="E61" s="50">
        <f t="shared" ref="E61:T61" si="45">E60/E$4^2*1000000</f>
        <v>67.502392995056013</v>
      </c>
      <c r="F61" s="50">
        <f t="shared" si="45"/>
        <v>67.52983583324388</v>
      </c>
      <c r="G61" s="50">
        <f t="shared" si="45"/>
        <v>68.53391661613712</v>
      </c>
      <c r="H61" s="50">
        <f t="shared" si="45"/>
        <v>67.625675772083341</v>
      </c>
      <c r="I61" s="50">
        <f t="shared" si="45"/>
        <v>67.701795929328441</v>
      </c>
      <c r="J61" s="50">
        <f t="shared" si="45"/>
        <v>67.839788694426602</v>
      </c>
      <c r="K61" s="50">
        <f t="shared" si="45"/>
        <v>67.289764293766268</v>
      </c>
      <c r="L61" s="50">
        <f t="shared" si="45"/>
        <v>67.837717236660936</v>
      </c>
      <c r="M61" s="50">
        <f t="shared" si="45"/>
        <v>67.311808108648037</v>
      </c>
      <c r="N61" s="50">
        <f t="shared" si="45"/>
        <v>67.351727574593468</v>
      </c>
      <c r="O61" s="50">
        <f t="shared" si="45"/>
        <v>67.848075790703277</v>
      </c>
      <c r="P61" s="50">
        <f t="shared" si="45"/>
        <v>68.429821979449912</v>
      </c>
      <c r="Q61" s="50">
        <f t="shared" si="45"/>
        <v>68.267649964998796</v>
      </c>
      <c r="R61" s="50" t="e">
        <f t="shared" si="45"/>
        <v>#VALUE!</v>
      </c>
      <c r="S61" s="50">
        <f t="shared" si="45"/>
        <v>69.63945070865401</v>
      </c>
      <c r="T61" s="50">
        <f t="shared" si="45"/>
        <v>73.097268213537703</v>
      </c>
    </row>
    <row r="62" spans="1:20" ht="38.25" x14ac:dyDescent="0.2">
      <c r="A62" s="159">
        <v>10</v>
      </c>
      <c r="B62" s="174" t="str">
        <f>Lähteandmed!B51</f>
        <v>T+60</v>
      </c>
      <c r="C62" s="77" t="s">
        <v>222</v>
      </c>
      <c r="D62" s="9">
        <f>SQRT((kaalutegur R_10*[1]!juhe(D5,6)+jaitetegur R_10*[1]!Jaitekoormus_EN(D$5,JaideJ_1,hJ_1))^2+(tuuletegur R_10*[1]!Tuulekoormus_en(D$5,QJ_1,hJ_1,zo,D$4,JaideJ_1,jaitetegur R_10))^2)</f>
        <v>3.39E-2</v>
      </c>
      <c r="E62" s="9">
        <f>SQRT((kaalutegur R_10*[1]!juhe(E5,6)+jaitetegur R_10*[1]!Jaitekoormus_EN(E$5,JaideJ_1,hJ_1))^2+(tuuletegur R_10*[1]!Tuulekoormus_en(E$5,QJ_1,hJ_1,zo,E$4,JaideJ_1,jaitetegur R_10))^2)</f>
        <v>3.39E-2</v>
      </c>
      <c r="F62" s="9">
        <f>SQRT((kaalutegur R_10*[1]!juhe(F5,6)+jaitetegur R_10*[1]!Jaitekoormus_EN(F$5,JaideJ_1,hJ_1))^2+(tuuletegur R_10*[1]!Tuulekoormus_en(F$5,QJ_1,hJ_1,zo,F$4,JaideJ_1,jaitetegur R_10))^2)</f>
        <v>3.39E-2</v>
      </c>
      <c r="G62" s="9">
        <f>SQRT((kaalutegur R_10*[1]!juhe(G5,6)+jaitetegur R_10*[1]!Jaitekoormus_EN(G$5,JaideJ_1,hJ_1))^2+(tuuletegur R_10*[1]!Tuulekoormus_en(G$5,QJ_1,hJ_1,zo,G$4,JaideJ_1,jaitetegur R_10))^2)</f>
        <v>3.39E-2</v>
      </c>
      <c r="H62" s="9">
        <f>SQRT((kaalutegur R_10*[1]!juhe(H5,6)+jaitetegur R_10*[1]!Jaitekoormus_EN(H$5,JaideJ_1,hJ_1))^2+(tuuletegur R_10*[1]!Tuulekoormus_en(H$5,QJ_1,hJ_1,zo,H$4,JaideJ_1,jaitetegur R_10))^2)</f>
        <v>3.39E-2</v>
      </c>
      <c r="I62" s="9">
        <f>SQRT((kaalutegur R_10*[1]!juhe(I5,6)+jaitetegur R_10*[1]!Jaitekoormus_EN(I$5,JaideJ_1,hJ_1))^2+(tuuletegur R_10*[1]!Tuulekoormus_en(I$5,QJ_1,hJ_1,zo,I$4,JaideJ_1,jaitetegur R_10))^2)</f>
        <v>3.39E-2</v>
      </c>
      <c r="J62" s="9">
        <f>SQRT((kaalutegur R_10*[1]!juhe(J5,6)+jaitetegur R_10*[1]!Jaitekoormus_EN(J$5,JaideJ_1,hJ_1))^2+(tuuletegur R_10*[1]!Tuulekoormus_en(J$5,QJ_1,hJ_1,zo,J$4,JaideJ_1,jaitetegur R_10))^2)</f>
        <v>3.39E-2</v>
      </c>
      <c r="K62" s="9">
        <f>SQRT((kaalutegur R_10*[1]!juhe(K5,6)+jaitetegur R_10*[1]!Jaitekoormus_EN(K$5,JaideJ_1,hJ_1))^2+(tuuletegur R_10*[1]!Tuulekoormus_en(K$5,QJ_1,hJ_1,zo,K$4,JaideJ_1,jaitetegur R_10))^2)</f>
        <v>3.39E-2</v>
      </c>
      <c r="L62" s="9">
        <f>SQRT((kaalutegur R_10*[1]!juhe(L5,6)+jaitetegur R_10*[1]!Jaitekoormus_EN(L$5,JaideJ_1,hJ_1))^2+(tuuletegur R_10*[1]!Tuulekoormus_en(L$5,QJ_1,hJ_1,zo,L$4,JaideJ_1,jaitetegur R_10))^2)</f>
        <v>3.39E-2</v>
      </c>
      <c r="M62" s="9">
        <f>SQRT((kaalutegur R_10*[1]!juhe(M5,6)+jaitetegur R_10*[1]!Jaitekoormus_EN(M$5,JaideJ_1,hJ_1))^2+(tuuletegur R_10*[1]!Tuulekoormus_en(M$5,QJ_1,hJ_1,zo,M$4,JaideJ_1,jaitetegur R_10))^2)</f>
        <v>3.39E-2</v>
      </c>
      <c r="N62" s="9">
        <f>SQRT((kaalutegur R_10*[1]!juhe(N5,6)+jaitetegur R_10*[1]!Jaitekoormus_EN(N$5,JaideJ_1,hJ_1))^2+(tuuletegur R_10*[1]!Tuulekoormus_en(N$5,QJ_1,hJ_1,zo,N$4,JaideJ_1,jaitetegur R_10))^2)</f>
        <v>3.39E-2</v>
      </c>
      <c r="O62" s="9">
        <f>SQRT((kaalutegur R_10*[1]!juhe(O5,6)+jaitetegur R_10*[1]!Jaitekoormus_EN(O$5,JaideJ_1,hJ_1))^2+(tuuletegur R_10*[1]!Tuulekoormus_en(O$5,QJ_1,hJ_1,zo,O$4,JaideJ_1,jaitetegur R_10))^2)</f>
        <v>3.39E-2</v>
      </c>
      <c r="P62" s="9">
        <f>SQRT((kaalutegur R_10*[1]!juhe(P5,6)+jaitetegur R_10*[1]!Jaitekoormus_EN(P$5,JaideJ_1,hJ_1))^2+(tuuletegur R_10*[1]!Tuulekoormus_en(P$5,QJ_1,hJ_1,zo,P$4,JaideJ_1,jaitetegur R_10))^2)</f>
        <v>3.39E-2</v>
      </c>
      <c r="Q62" s="9">
        <f>SQRT((kaalutegur R_10*[1]!juhe(Q5,6)+jaitetegur R_10*[1]!Jaitekoormus_EN(Q$5,JaideJ_1,hJ_1))^2+(tuuletegur R_10*[1]!Tuulekoormus_en(Q$5,QJ_1,hJ_1,zo,Q$4,JaideJ_1,jaitetegur R_10))^2)</f>
        <v>3.39E-2</v>
      </c>
      <c r="R62" s="9" t="e">
        <f>SQRT((kaalutegur R_10*[1]!juhe(R5,6)+jaitetegur R_10*[1]!Jaitekoormus_EN(R$5,JaideJ_1,hJ_1))^2+(tuuletegur R_10*[1]!Tuulekoormus_en(R$5,QJ_1,hJ_1,zo,R$4,JaideJ_1,jaitetegur R_10))^2)</f>
        <v>#VALUE!</v>
      </c>
      <c r="S62" s="9">
        <f>SQRT((kaalutegur R_10*[1]!juhe(S5,6)+jaitetegur R_10*[1]!Jaitekoormus_EN(S$5,JaideJ_1,hJ_1))^2+(tuuletegur R_10*[1]!Tuulekoormus_en(S$5,QJ_1,hJ_1,zo,S$4,JaideJ_1,jaitetegur R_10))^2)</f>
        <v>3.39E-2</v>
      </c>
      <c r="T62" s="9">
        <f>SQRT((kaalutegur R_10*[1]!juhe(T5,6)+jaitetegur R_10*[1]!Jaitekoormus_EN(T$5,JaideJ_1,hJ_1))^2+(tuuletegur R_10*[1]!Tuulekoormus_en(T$5,QJ_1,hJ_1,zo,T$4,JaideJ_1,jaitetegur R_10))^2)</f>
        <v>3.39E-2</v>
      </c>
    </row>
    <row r="63" spans="1:20" x14ac:dyDescent="0.2">
      <c r="A63" s="159"/>
      <c r="B63" s="174"/>
      <c r="C63" s="77" t="s">
        <v>104</v>
      </c>
      <c r="D63" s="22">
        <f>[1]!Olekuvorrand(D$4,D$5,D$6,5,D$9,Lähteandmed!$C51,D62)</f>
        <v>54.889023303985596</v>
      </c>
      <c r="E63" s="22">
        <f>[1]!Olekuvorrand(E$4,E$5,E$6,5,E$9,Lähteandmed!$C51,E62)</f>
        <v>54.768621921539307</v>
      </c>
      <c r="F63" s="22">
        <f>[1]!Olekuvorrand(F$4,F$5,F$6,5,F$9,Lähteandmed!$C51,F62)</f>
        <v>54.668009281158447</v>
      </c>
      <c r="G63" s="22">
        <f>[1]!Olekuvorrand(G$4,G$5,G$6,5,G$9,Lähteandmed!$C51,G62)</f>
        <v>51.193773746490479</v>
      </c>
      <c r="H63" s="22">
        <f>[1]!Olekuvorrand(H$4,H$5,H$6,5,H$9,Lähteandmed!$C51,H62)</f>
        <v>54.318249225616455</v>
      </c>
      <c r="I63" s="22">
        <f>[1]!Olekuvorrand(I$4,I$5,I$6,5,I$9,Lähteandmed!$C51,I62)</f>
        <v>54.043710231781006</v>
      </c>
      <c r="J63" s="22">
        <f>[1]!Olekuvorrand(J$4,J$5,J$6,5,J$9,Lähteandmed!$C51,J62)</f>
        <v>53.552687168121338</v>
      </c>
      <c r="K63" s="22">
        <f>[1]!Olekuvorrand(K$4,K$5,K$6,5,K$9,Lähteandmed!$C51,K62)</f>
        <v>55.561840534210205</v>
      </c>
      <c r="L63" s="22">
        <f>[1]!Olekuvorrand(L$4,L$5,L$6,5,L$9,Lähteandmed!$C51,L62)</f>
        <v>53.559958934783936</v>
      </c>
      <c r="M63" s="22">
        <f>[1]!Olekuvorrand(M$4,M$5,M$6,5,M$9,Lähteandmed!$C51,M62)</f>
        <v>55.47863245010376</v>
      </c>
      <c r="N63" s="22">
        <f>[1]!Olekuvorrand(N$4,N$5,N$6,5,N$9,Lähteandmed!$C51,N62)</f>
        <v>55.328667163848877</v>
      </c>
      <c r="O63" s="22">
        <f>[1]!Olekuvorrand(O$4,O$5,O$6,5,O$9,Lähteandmed!$C51,O62)</f>
        <v>53.523480892181396</v>
      </c>
      <c r="P63" s="22">
        <f>[1]!Olekuvorrand(P$4,P$5,P$6,5,P$9,Lähteandmed!$C51,P62)</f>
        <v>51.536381244659424</v>
      </c>
      <c r="Q63" s="22">
        <f>[1]!Olekuvorrand(Q$4,Q$5,Q$6,5,Q$9,Lähteandmed!$C51,Q62)</f>
        <v>52.077829837799072</v>
      </c>
      <c r="R63" s="22" t="e">
        <f>[1]!Olekuvorrand(R$4,R$5,R$6,5,R$9,Lähteandmed!$C51,R62)</f>
        <v>#VALUE!</v>
      </c>
      <c r="S63" s="22">
        <f>[1]!Olekuvorrand(S$4,S$5,S$6,5,S$9,Lähteandmed!$C51,S62)</f>
        <v>47.756016254425049</v>
      </c>
      <c r="T63" s="22">
        <f>[1]!Olekuvorrand(T$4,T$5,T$6,5,T$9,Lähteandmed!$C51,T62)</f>
        <v>38.574516773223877</v>
      </c>
    </row>
    <row r="64" spans="1:20" x14ac:dyDescent="0.2">
      <c r="A64" s="159"/>
      <c r="B64" s="174"/>
      <c r="C64" s="77" t="s">
        <v>105</v>
      </c>
      <c r="D64" s="9">
        <f>[1]!ripe(D63,D$9+Lähteandmed!$E51*D$11,D$4,0)</f>
        <v>15.439623645392288</v>
      </c>
      <c r="E64" s="9">
        <f>[1]!ripe(E63,E$9+Lähteandmed!$E51*E$11,E$4,0)</f>
        <v>15.213242824649317</v>
      </c>
      <c r="F64" s="9">
        <f>[1]!ripe(F63,F$9+Lähteandmed!$E51*F$11,F$4,0)</f>
        <v>15.028341621033949</v>
      </c>
      <c r="G64" s="9">
        <f>[1]!ripe(G63,G$9+Lähteandmed!$E51*G$11,G$4,0)</f>
        <v>10.301295733240382</v>
      </c>
      <c r="H64" s="9">
        <f>[1]!ripe(H63,H$9+Lähteandmed!$E51*H$11,H$4,0)</f>
        <v>14.412227809064071</v>
      </c>
      <c r="I64" s="9">
        <f>[1]!ripe(I63,I$9+Lähteandmed!$E51*I$11,I$4,0)</f>
        <v>13.956234499820113</v>
      </c>
      <c r="J64" s="9">
        <f>[1]!ripe(J63,J$9+Lähteandmed!$E51*J$11,J$4,0)</f>
        <v>13.195831189256456</v>
      </c>
      <c r="K64" s="9">
        <f>[1]!ripe(K63,K$9+Lähteandmed!$E51*K$11,K$4,0)</f>
        <v>16.811254814793742</v>
      </c>
      <c r="L64" s="9">
        <f>[1]!ripe(L63,L$9+Lähteandmed!$E51*L$11,L$4,0)</f>
        <v>13.206613165359132</v>
      </c>
      <c r="M64" s="9">
        <f>[1]!ripe(M63,M$9+Lähteandmed!$E51*M$11,M$4,0)</f>
        <v>16.631162781815931</v>
      </c>
      <c r="N64" s="9">
        <f>[1]!ripe(N63,N$9+Lähteandmed!$E51*N$11,N$4,0)</f>
        <v>16.314064709145818</v>
      </c>
      <c r="O64" s="9">
        <f>[1]!ripe(O63,O$9+Lähteandmed!$E51*O$11,O$4,0)</f>
        <v>13.152635897560323</v>
      </c>
      <c r="P64" s="9">
        <f>[1]!ripe(P63,P$9+Lähteandmed!$E51*P$11,P$4,0)</f>
        <v>10.65815691588304</v>
      </c>
      <c r="Q64" s="9">
        <f>[1]!ripe(Q63,Q$9+Lähteandmed!$E51*Q$11,Q$4,0)</f>
        <v>11.261229556071754</v>
      </c>
      <c r="R64" s="9" t="e">
        <f>[1]!ripe(R63,R$9+Lähteandmed!$E51*R$11,R$4,0)</f>
        <v>#VALUE!</v>
      </c>
      <c r="S64" s="9">
        <f>[1]!ripe(S63,S$9+Lähteandmed!$E51*S$11,S$4,0)</f>
        <v>7.512905029253881</v>
      </c>
      <c r="T64" s="9">
        <f>[1]!ripe(T63,T$9+Lähteandmed!$E51*T$11,T$4,0)</f>
        <v>3.674436413990847</v>
      </c>
    </row>
    <row r="65" spans="1:20" x14ac:dyDescent="0.2">
      <c r="A65" s="72"/>
      <c r="B65" s="174"/>
      <c r="C65" s="77" t="s">
        <v>49</v>
      </c>
      <c r="D65" s="51">
        <f t="shared" ref="D65:K65" si="46">D64/D$4^2*1000000</f>
        <v>77.201227949201041</v>
      </c>
      <c r="E65" s="51">
        <f t="shared" ref="E65:T65" si="47">E64/E$4^2*1000000</f>
        <v>77.370944371588863</v>
      </c>
      <c r="F65" s="51">
        <f t="shared" si="47"/>
        <v>77.513340173161779</v>
      </c>
      <c r="G65" s="51">
        <f t="shared" si="47"/>
        <v>82.773737700680783</v>
      </c>
      <c r="H65" s="51">
        <f t="shared" si="47"/>
        <v>78.012455489850311</v>
      </c>
      <c r="I65" s="51">
        <f t="shared" si="47"/>
        <v>78.40875435506446</v>
      </c>
      <c r="J65" s="51">
        <f t="shared" si="47"/>
        <v>79.127681990951217</v>
      </c>
      <c r="K65" s="51">
        <f t="shared" si="47"/>
        <v>76.266372014636772</v>
      </c>
      <c r="L65" s="51">
        <f t="shared" si="47"/>
        <v>79.116938927449425</v>
      </c>
      <c r="M65" s="51">
        <f t="shared" si="47"/>
        <v>76.38075801185461</v>
      </c>
      <c r="N65" s="51">
        <f t="shared" si="47"/>
        <v>76.587783823730618</v>
      </c>
      <c r="O65" s="51">
        <f t="shared" si="47"/>
        <v>79.17085976781091</v>
      </c>
      <c r="P65" s="51">
        <f t="shared" si="47"/>
        <v>82.223468114364763</v>
      </c>
      <c r="Q65" s="51">
        <f t="shared" si="47"/>
        <v>81.36859798494028</v>
      </c>
      <c r="R65" s="51" t="e">
        <f t="shared" si="47"/>
        <v>#VALUE!</v>
      </c>
      <c r="S65" s="51">
        <f t="shared" si="47"/>
        <v>88.73227568698961</v>
      </c>
      <c r="T65" s="51">
        <f t="shared" si="47"/>
        <v>109.85231584135926</v>
      </c>
    </row>
    <row r="66" spans="1:20" ht="38.25" x14ac:dyDescent="0.2">
      <c r="A66" s="172">
        <v>11</v>
      </c>
      <c r="B66" s="173" t="str">
        <f>Lähteandmed!B54</f>
        <v>Peale venimist EDS</v>
      </c>
      <c r="C66" s="76" t="s">
        <v>222</v>
      </c>
      <c r="D66" s="6">
        <f>SQRT((kaalutegur R_11*[1]!juhe(D5,6)+jaitetegur R_11*[1]!Jaitekoormus_EN(D$5,JaideJ_1,hJ_1))^2+(tuuletegur R_11*[1]!Tuulekoormus_en(D$5,QJ_1,hJ_1,zo,D$4,JaideJ_1,jaitetegur R_11))^2)</f>
        <v>3.39E-2</v>
      </c>
      <c r="E66" s="6">
        <f>SQRT((kaalutegur R_11*[1]!juhe(E5,6)+jaitetegur R_11*[1]!Jaitekoormus_EN(E$5,JaideJ_1,hJ_1))^2+(tuuletegur R_11*[1]!Tuulekoormus_en(E$5,QJ_1,hJ_1,zo,E$4,JaideJ_1,jaitetegur R_11))^2)</f>
        <v>3.39E-2</v>
      </c>
      <c r="F66" s="6">
        <f>SQRT((kaalutegur R_11*[1]!juhe(F5,6)+jaitetegur R_11*[1]!Jaitekoormus_EN(F$5,JaideJ_1,hJ_1))^2+(tuuletegur R_11*[1]!Tuulekoormus_en(F$5,QJ_1,hJ_1,zo,F$4,JaideJ_1,jaitetegur R_11))^2)</f>
        <v>3.39E-2</v>
      </c>
      <c r="G66" s="6">
        <f>SQRT((kaalutegur R_11*[1]!juhe(G5,6)+jaitetegur R_11*[1]!Jaitekoormus_EN(G$5,JaideJ_1,hJ_1))^2+(tuuletegur R_11*[1]!Tuulekoormus_en(G$5,QJ_1,hJ_1,zo,G$4,JaideJ_1,jaitetegur R_11))^2)</f>
        <v>3.39E-2</v>
      </c>
      <c r="H66" s="6">
        <f>SQRT((kaalutegur R_11*[1]!juhe(H5,6)+jaitetegur R_11*[1]!Jaitekoormus_EN(H$5,JaideJ_1,hJ_1))^2+(tuuletegur R_11*[1]!Tuulekoormus_en(H$5,QJ_1,hJ_1,zo,H$4,JaideJ_1,jaitetegur R_11))^2)</f>
        <v>3.39E-2</v>
      </c>
      <c r="I66" s="6">
        <f>SQRT((kaalutegur R_11*[1]!juhe(I5,6)+jaitetegur R_11*[1]!Jaitekoormus_EN(I$5,JaideJ_1,hJ_1))^2+(tuuletegur R_11*[1]!Tuulekoormus_en(I$5,QJ_1,hJ_1,zo,I$4,JaideJ_1,jaitetegur R_11))^2)</f>
        <v>3.39E-2</v>
      </c>
      <c r="J66" s="6">
        <f>SQRT((kaalutegur R_11*[1]!juhe(J5,6)+jaitetegur R_11*[1]!Jaitekoormus_EN(J$5,JaideJ_1,hJ_1))^2+(tuuletegur R_11*[1]!Tuulekoormus_en(J$5,QJ_1,hJ_1,zo,J$4,JaideJ_1,jaitetegur R_11))^2)</f>
        <v>3.39E-2</v>
      </c>
      <c r="K66" s="6">
        <f>SQRT((kaalutegur R_11*[1]!juhe(K5,6)+jaitetegur R_11*[1]!Jaitekoormus_EN(K$5,JaideJ_1,hJ_1))^2+(tuuletegur R_11*[1]!Tuulekoormus_en(K$5,QJ_1,hJ_1,zo,K$4,JaideJ_1,jaitetegur R_11))^2)</f>
        <v>3.39E-2</v>
      </c>
      <c r="L66" s="6">
        <f>SQRT((kaalutegur R_11*[1]!juhe(L5,6)+jaitetegur R_11*[1]!Jaitekoormus_EN(L$5,JaideJ_1,hJ_1))^2+(tuuletegur R_11*[1]!Tuulekoormus_en(L$5,QJ_1,hJ_1,zo,L$4,JaideJ_1,jaitetegur R_11))^2)</f>
        <v>3.39E-2</v>
      </c>
      <c r="M66" s="6">
        <f>SQRT((kaalutegur R_11*[1]!juhe(M5,6)+jaitetegur R_11*[1]!Jaitekoormus_EN(M$5,JaideJ_1,hJ_1))^2+(tuuletegur R_11*[1]!Tuulekoormus_en(M$5,QJ_1,hJ_1,zo,M$4,JaideJ_1,jaitetegur R_11))^2)</f>
        <v>3.39E-2</v>
      </c>
      <c r="N66" s="6">
        <f>SQRT((kaalutegur R_11*[1]!juhe(N5,6)+jaitetegur R_11*[1]!Jaitekoormus_EN(N$5,JaideJ_1,hJ_1))^2+(tuuletegur R_11*[1]!Tuulekoormus_en(N$5,QJ_1,hJ_1,zo,N$4,JaideJ_1,jaitetegur R_11))^2)</f>
        <v>3.39E-2</v>
      </c>
      <c r="O66" s="6">
        <f>SQRT((kaalutegur R_11*[1]!juhe(O5,6)+jaitetegur R_11*[1]!Jaitekoormus_EN(O$5,JaideJ_1,hJ_1))^2+(tuuletegur R_11*[1]!Tuulekoormus_en(O$5,QJ_1,hJ_1,zo,O$4,JaideJ_1,jaitetegur R_11))^2)</f>
        <v>3.39E-2</v>
      </c>
      <c r="P66" s="6">
        <f>SQRT((kaalutegur R_11*[1]!juhe(P5,6)+jaitetegur R_11*[1]!Jaitekoormus_EN(P$5,JaideJ_1,hJ_1))^2+(tuuletegur R_11*[1]!Tuulekoormus_en(P$5,QJ_1,hJ_1,zo,P$4,JaideJ_1,jaitetegur R_11))^2)</f>
        <v>3.39E-2</v>
      </c>
      <c r="Q66" s="6">
        <f>SQRT((kaalutegur R_11*[1]!juhe(Q5,6)+jaitetegur R_11*[1]!Jaitekoormus_EN(Q$5,JaideJ_1,hJ_1))^2+(tuuletegur R_11*[1]!Tuulekoormus_en(Q$5,QJ_1,hJ_1,zo,Q$4,JaideJ_1,jaitetegur R_11))^2)</f>
        <v>3.39E-2</v>
      </c>
      <c r="R66" s="6" t="e">
        <f>SQRT((kaalutegur R_11*[1]!juhe(R5,6)+jaitetegur R_11*[1]!Jaitekoormus_EN(R$5,JaideJ_1,hJ_1))^2+(tuuletegur R_11*[1]!Tuulekoormus_en(R$5,QJ_1,hJ_1,zo,R$4,JaideJ_1,jaitetegur R_11))^2)</f>
        <v>#VALUE!</v>
      </c>
      <c r="S66" s="6">
        <f>SQRT((kaalutegur R_11*[1]!juhe(S5,6)+jaitetegur R_11*[1]!Jaitekoormus_EN(S$5,JaideJ_1,hJ_1))^2+(tuuletegur R_11*[1]!Tuulekoormus_en(S$5,QJ_1,hJ_1,zo,S$4,JaideJ_1,jaitetegur R_11))^2)</f>
        <v>3.39E-2</v>
      </c>
      <c r="T66" s="6">
        <f>SQRT((kaalutegur R_11*[1]!juhe(T5,6)+jaitetegur R_11*[1]!Jaitekoormus_EN(T$5,JaideJ_1,hJ_1))^2+(tuuletegur R_11*[1]!Tuulekoormus_en(T$5,QJ_1,hJ_1,zo,T$4,JaideJ_1,jaitetegur R_11))^2)</f>
        <v>3.39E-2</v>
      </c>
    </row>
    <row r="67" spans="1:20" x14ac:dyDescent="0.2">
      <c r="A67" s="172"/>
      <c r="B67" s="173"/>
      <c r="C67" s="76" t="s">
        <v>104</v>
      </c>
      <c r="D67" s="3">
        <f>[1]!Olekuvorrand(D$4,D$5,D$6,5,D$9,Lähteandmed!$C54,D66)</f>
        <v>58.06499719619751</v>
      </c>
      <c r="E67" s="3">
        <f>[1]!Olekuvorrand(E$4,E$5,E$6,5,E$9,Lähteandmed!$C54,E66)</f>
        <v>57.976901531219482</v>
      </c>
      <c r="F67" s="3">
        <f>[1]!Olekuvorrand(F$4,F$5,F$6,5,F$9,Lähteandmed!$C54,F66)</f>
        <v>57.90334939956665</v>
      </c>
      <c r="G67" s="3">
        <f>[1]!Olekuvorrand(G$4,G$5,G$6,5,G$9,Lähteandmed!$C54,G66)</f>
        <v>55.309951305389404</v>
      </c>
      <c r="H67" s="3">
        <f>[1]!Olekuvorrand(H$4,H$5,H$6,5,H$9,Lähteandmed!$C54,H66)</f>
        <v>57.646453380584717</v>
      </c>
      <c r="I67" s="3">
        <f>[1]!Olekuvorrand(I$4,I$5,I$6,5,I$9,Lähteandmed!$C54,I66)</f>
        <v>57.444155216217041</v>
      </c>
      <c r="J67" s="3">
        <f>[1]!Olekuvorrand(J$4,J$5,J$6,5,J$9,Lähteandmed!$C54,J66)</f>
        <v>57.080924510955811</v>
      </c>
      <c r="K67" s="3">
        <f>[1]!Olekuvorrand(K$4,K$5,K$6,5,K$9,Lähteandmed!$C54,K66)</f>
        <v>58.555066585540771</v>
      </c>
      <c r="L67" s="3">
        <f>[1]!Olekuvorrand(L$4,L$5,L$6,5,L$9,Lähteandmed!$C54,L66)</f>
        <v>57.086288928985596</v>
      </c>
      <c r="M67" s="3">
        <f>[1]!Olekuvorrand(M$4,M$5,M$6,5,M$9,Lähteandmed!$C54,M66)</f>
        <v>58.494746685028076</v>
      </c>
      <c r="N67" s="3">
        <f>[1]!Olekuvorrand(N$4,N$5,N$6,5,N$9,Lähteandmed!$C54,N66)</f>
        <v>58.385670185089111</v>
      </c>
      <c r="O67" s="3">
        <f>[1]!Olekuvorrand(O$4,O$5,O$6,5,O$9,Lähteandmed!$C54,O66)</f>
        <v>57.059228420257568</v>
      </c>
      <c r="P67" s="3">
        <f>[1]!Olekuvorrand(P$4,P$5,P$6,5,P$9,Lähteandmed!$C54,P66)</f>
        <v>55.569708347320557</v>
      </c>
      <c r="Q67" s="3">
        <f>[1]!Olekuvorrand(Q$4,Q$5,Q$6,5,Q$9,Lähteandmed!$C54,Q66)</f>
        <v>55.978596210479736</v>
      </c>
      <c r="R67" s="3" t="e">
        <f>[1]!Olekuvorrand(R$4,R$5,R$6,5,R$9,Lähteandmed!$C54,R66)</f>
        <v>#VALUE!</v>
      </c>
      <c r="S67" s="3">
        <f>[1]!Olekuvorrand(S$4,S$5,S$6,5,S$9,Lähteandmed!$C54,S66)</f>
        <v>52.656948566436768</v>
      </c>
      <c r="T67" s="3">
        <f>[1]!Olekuvorrand(T$4,T$5,T$6,5,T$9,Lähteandmed!$C54,T66)</f>
        <v>45.208275318145752</v>
      </c>
    </row>
    <row r="68" spans="1:20" x14ac:dyDescent="0.2">
      <c r="A68" s="172"/>
      <c r="B68" s="173"/>
      <c r="C68" s="76" t="s">
        <v>105</v>
      </c>
      <c r="D68" s="3">
        <f>[1]!ripe(D67,D$9+Lähteandmed!$E54*D$11,D$4,0)</f>
        <v>14.595124481159919</v>
      </c>
      <c r="E68" s="3">
        <f>[1]!ripe(E67,E$9+Lähteandmed!$E54*E$11,E$4,0)</f>
        <v>14.371384507589147</v>
      </c>
      <c r="F68" s="3">
        <f>[1]!ripe(F67,F$9+Lähteandmed!$E54*F$11,F$4,0)</f>
        <v>14.188635506208771</v>
      </c>
      <c r="G68" s="3">
        <f>[1]!ripe(G67,G$9+Lähteandmed!$E54*G$11,G$4,0)</f>
        <v>9.5346712592713789</v>
      </c>
      <c r="H68" s="3">
        <f>[1]!ripe(H67,H$9+Lähteandmed!$E54*H$11,H$4,0)</f>
        <v>13.580141294395132</v>
      </c>
      <c r="I68" s="3">
        <f>[1]!ripe(I67,I$9+Lähteandmed!$E54*I$11,I$4,0)</f>
        <v>13.130085913808202</v>
      </c>
      <c r="J68" s="3">
        <f>[1]!ripe(J67,J$9+Lähteandmed!$E54*J$11,J$4,0)</f>
        <v>12.380181744707983</v>
      </c>
      <c r="K68" s="3">
        <f>[1]!ripe(K67,K$9+Lähteandmed!$E54*K$11,K$4,0)</f>
        <v>15.951894749107765</v>
      </c>
      <c r="L68" s="3">
        <f>[1]!ripe(L67,L$9+Lähteandmed!$E54*L$11,L$4,0)</f>
        <v>12.390815239087242</v>
      </c>
      <c r="M68" s="3">
        <f>[1]!ripe(M67,M$9+Lähteandmed!$E54*M$11,M$4,0)</f>
        <v>15.773624461671064</v>
      </c>
      <c r="N68" s="3">
        <f>[1]!ripe(N67,N$9+Lähteandmed!$E54*N$11,N$4,0)</f>
        <v>15.459880027417114</v>
      </c>
      <c r="O68" s="3">
        <f>[1]!ripe(O67,O$9+Lähteandmed!$E54*O$11,O$4,0)</f>
        <v>12.337616116360923</v>
      </c>
      <c r="P68" s="3">
        <f>[1]!ripe(P67,P$9+Lähteandmed!$E54*P$11,P$4,0)</f>
        <v>9.8845729898245356</v>
      </c>
      <c r="Q68" s="3">
        <f>[1]!ripe(Q67,Q$9+Lähteandmed!$E54*Q$11,Q$4,0)</f>
        <v>10.476511314796197</v>
      </c>
      <c r="R68" s="3" t="e">
        <f>[1]!ripe(R67,R$9+Lähteandmed!$E54*R$11,R$4,0)</f>
        <v>#VALUE!</v>
      </c>
      <c r="S68" s="3">
        <f>[1]!ripe(S67,S$9+Lähteandmed!$E54*S$11,S$4,0)</f>
        <v>6.8136575411756466</v>
      </c>
      <c r="T68" s="3">
        <f>[1]!ripe(T67,T$9+Lähteandmed!$E54*T$11,T$4,0)</f>
        <v>3.1352580492435398</v>
      </c>
    </row>
    <row r="69" spans="1:20" x14ac:dyDescent="0.2">
      <c r="A69" s="73"/>
      <c r="B69" s="173"/>
      <c r="C69" s="76" t="s">
        <v>49</v>
      </c>
      <c r="D69" s="50">
        <f t="shared" ref="D69:K69" si="48">D68/D$4^2*1000000</f>
        <v>72.978562035950631</v>
      </c>
      <c r="E69" s="50">
        <f t="shared" ref="E69:T69" si="49">E68/E$4^2*1000000</f>
        <v>73.089452662767513</v>
      </c>
      <c r="F69" s="50">
        <f t="shared" si="49"/>
        <v>73.182295047541984</v>
      </c>
      <c r="G69" s="50">
        <f t="shared" si="49"/>
        <v>76.613699704832285</v>
      </c>
      <c r="H69" s="50">
        <f t="shared" si="49"/>
        <v>73.508425089464168</v>
      </c>
      <c r="I69" s="50">
        <f t="shared" si="49"/>
        <v>73.767295977288796</v>
      </c>
      <c r="J69" s="50">
        <f t="shared" si="49"/>
        <v>74.236709308845846</v>
      </c>
      <c r="K69" s="50">
        <f t="shared" si="49"/>
        <v>72.367776984927588</v>
      </c>
      <c r="L69" s="50">
        <f t="shared" si="49"/>
        <v>74.229733259966864</v>
      </c>
      <c r="M69" s="50">
        <f t="shared" si="49"/>
        <v>72.442402782207481</v>
      </c>
      <c r="N69" s="50">
        <f t="shared" si="49"/>
        <v>72.577740164095928</v>
      </c>
      <c r="O69" s="50">
        <f t="shared" si="49"/>
        <v>74.264936931666824</v>
      </c>
      <c r="P69" s="50">
        <f t="shared" si="49"/>
        <v>76.255573873356894</v>
      </c>
      <c r="Q69" s="50">
        <f t="shared" si="49"/>
        <v>75.698575649646244</v>
      </c>
      <c r="R69" s="50" t="e">
        <f t="shared" si="49"/>
        <v>#VALUE!</v>
      </c>
      <c r="S69" s="50">
        <f t="shared" si="49"/>
        <v>80.473709840090464</v>
      </c>
      <c r="T69" s="50">
        <f t="shared" si="49"/>
        <v>93.732839179979663</v>
      </c>
    </row>
    <row r="70" spans="1:20" ht="38.25" x14ac:dyDescent="0.2">
      <c r="A70" s="159">
        <v>12</v>
      </c>
      <c r="B70" s="174" t="str">
        <f>Lähteandmed!B57</f>
        <v>Peale venimist Tmax</v>
      </c>
      <c r="C70" s="77" t="s">
        <v>222</v>
      </c>
      <c r="D70" s="9">
        <f>SQRT((kaalutegur R_12*[1]!juhe(D5,6)+jaitetegur R_12*[1]!Jaitekoormus_EN(D$5,JaideJ_1,hJ_1))^2+(tuuletegur R_12*[1]!Tuulekoormus_en(D$5,QJ_1,hJ_1,zo,D$4,JaideJ_1,jaitetegur R_12))^2)</f>
        <v>3.39E-2</v>
      </c>
      <c r="E70" s="9">
        <f>SQRT((kaalutegur R_12*[1]!juhe(E5,6)+jaitetegur R_12*[1]!Jaitekoormus_EN(E$5,JaideJ_1,hJ_1))^2+(tuuletegur R_12*[1]!Tuulekoormus_en(E$5,QJ_1,hJ_1,zo,E$4,JaideJ_1,jaitetegur R_12))^2)</f>
        <v>3.39E-2</v>
      </c>
      <c r="F70" s="9">
        <f>SQRT((kaalutegur R_12*[1]!juhe(F5,6)+jaitetegur R_12*[1]!Jaitekoormus_EN(F$5,JaideJ_1,hJ_1))^2+(tuuletegur R_12*[1]!Tuulekoormus_en(F$5,QJ_1,hJ_1,zo,F$4,JaideJ_1,jaitetegur R_12))^2)</f>
        <v>3.39E-2</v>
      </c>
      <c r="G70" s="9">
        <f>SQRT((kaalutegur R_12*[1]!juhe(G5,6)+jaitetegur R_12*[1]!Jaitekoormus_EN(G$5,JaideJ_1,hJ_1))^2+(tuuletegur R_12*[1]!Tuulekoormus_en(G$5,QJ_1,hJ_1,zo,G$4,JaideJ_1,jaitetegur R_12))^2)</f>
        <v>3.39E-2</v>
      </c>
      <c r="H70" s="9">
        <f>SQRT((kaalutegur R_12*[1]!juhe(H5,6)+jaitetegur R_12*[1]!Jaitekoormus_EN(H$5,JaideJ_1,hJ_1))^2+(tuuletegur R_12*[1]!Tuulekoormus_en(H$5,QJ_1,hJ_1,zo,H$4,JaideJ_1,jaitetegur R_12))^2)</f>
        <v>3.39E-2</v>
      </c>
      <c r="I70" s="9">
        <f>SQRT((kaalutegur R_12*[1]!juhe(I5,6)+jaitetegur R_12*[1]!Jaitekoormus_EN(I$5,JaideJ_1,hJ_1))^2+(tuuletegur R_12*[1]!Tuulekoormus_en(I$5,QJ_1,hJ_1,zo,I$4,JaideJ_1,jaitetegur R_12))^2)</f>
        <v>3.39E-2</v>
      </c>
      <c r="J70" s="9">
        <f>SQRT((kaalutegur R_12*[1]!juhe(J5,6)+jaitetegur R_12*[1]!Jaitekoormus_EN(J$5,JaideJ_1,hJ_1))^2+(tuuletegur R_12*[1]!Tuulekoormus_en(J$5,QJ_1,hJ_1,zo,J$4,JaideJ_1,jaitetegur R_12))^2)</f>
        <v>3.39E-2</v>
      </c>
      <c r="K70" s="9">
        <f>SQRT((kaalutegur R_12*[1]!juhe(K5,6)+jaitetegur R_12*[1]!Jaitekoormus_EN(K$5,JaideJ_1,hJ_1))^2+(tuuletegur R_12*[1]!Tuulekoormus_en(K$5,QJ_1,hJ_1,zo,K$4,JaideJ_1,jaitetegur R_12))^2)</f>
        <v>3.39E-2</v>
      </c>
      <c r="L70" s="9">
        <f>SQRT((kaalutegur R_12*[1]!juhe(L5,6)+jaitetegur R_12*[1]!Jaitekoormus_EN(L$5,JaideJ_1,hJ_1))^2+(tuuletegur R_12*[1]!Tuulekoormus_en(L$5,QJ_1,hJ_1,zo,L$4,JaideJ_1,jaitetegur R_12))^2)</f>
        <v>3.39E-2</v>
      </c>
      <c r="M70" s="9">
        <f>SQRT((kaalutegur R_12*[1]!juhe(M5,6)+jaitetegur R_12*[1]!Jaitekoormus_EN(M$5,JaideJ_1,hJ_1))^2+(tuuletegur R_12*[1]!Tuulekoormus_en(M$5,QJ_1,hJ_1,zo,M$4,JaideJ_1,jaitetegur R_12))^2)</f>
        <v>3.39E-2</v>
      </c>
      <c r="N70" s="9">
        <f>SQRT((kaalutegur R_12*[1]!juhe(N5,6)+jaitetegur R_12*[1]!Jaitekoormus_EN(N$5,JaideJ_1,hJ_1))^2+(tuuletegur R_12*[1]!Tuulekoormus_en(N$5,QJ_1,hJ_1,zo,N$4,JaideJ_1,jaitetegur R_12))^2)</f>
        <v>3.39E-2</v>
      </c>
      <c r="O70" s="9">
        <f>SQRT((kaalutegur R_12*[1]!juhe(O5,6)+jaitetegur R_12*[1]!Jaitekoormus_EN(O$5,JaideJ_1,hJ_1))^2+(tuuletegur R_12*[1]!Tuulekoormus_en(O$5,QJ_1,hJ_1,zo,O$4,JaideJ_1,jaitetegur R_12))^2)</f>
        <v>3.39E-2</v>
      </c>
      <c r="P70" s="9">
        <f>SQRT((kaalutegur R_12*[1]!juhe(P5,6)+jaitetegur R_12*[1]!Jaitekoormus_EN(P$5,JaideJ_1,hJ_1))^2+(tuuletegur R_12*[1]!Tuulekoormus_en(P$5,QJ_1,hJ_1,zo,P$4,JaideJ_1,jaitetegur R_12))^2)</f>
        <v>3.39E-2</v>
      </c>
      <c r="Q70" s="9">
        <f>SQRT((kaalutegur R_12*[1]!juhe(Q5,6)+jaitetegur R_12*[1]!Jaitekoormus_EN(Q$5,JaideJ_1,hJ_1))^2+(tuuletegur R_12*[1]!Tuulekoormus_en(Q$5,QJ_1,hJ_1,zo,Q$4,JaideJ_1,jaitetegur R_12))^2)</f>
        <v>3.39E-2</v>
      </c>
      <c r="R70" s="9" t="e">
        <f>SQRT((kaalutegur R_12*[1]!juhe(R5,6)+jaitetegur R_12*[1]!Jaitekoormus_EN(R$5,JaideJ_1,hJ_1))^2+(tuuletegur R_12*[1]!Tuulekoormus_en(R$5,QJ_1,hJ_1,zo,R$4,JaideJ_1,jaitetegur R_12))^2)</f>
        <v>#VALUE!</v>
      </c>
      <c r="S70" s="9">
        <f>SQRT((kaalutegur R_12*[1]!juhe(S5,6)+jaitetegur R_12*[1]!Jaitekoormus_EN(S$5,JaideJ_1,hJ_1))^2+(tuuletegur R_12*[1]!Tuulekoormus_en(S$5,QJ_1,hJ_1,zo,S$4,JaideJ_1,jaitetegur R_12))^2)</f>
        <v>3.39E-2</v>
      </c>
      <c r="T70" s="9">
        <f>SQRT((kaalutegur R_12*[1]!juhe(T5,6)+jaitetegur R_12*[1]!Jaitekoormus_EN(T$5,JaideJ_1,hJ_1))^2+(tuuletegur R_12*[1]!Tuulekoormus_en(T$5,QJ_1,hJ_1,zo,T$4,JaideJ_1,jaitetegur R_12))^2)</f>
        <v>3.39E-2</v>
      </c>
    </row>
    <row r="71" spans="1:20" x14ac:dyDescent="0.2">
      <c r="A71" s="159"/>
      <c r="B71" s="174"/>
      <c r="C71" s="77" t="s">
        <v>104</v>
      </c>
      <c r="D71" s="22">
        <f>[1]!Olekuvorrand(D$4,D$5,D$6,5,D$9,Lähteandmed!$C57,D70)</f>
        <v>52.141249179840088</v>
      </c>
      <c r="E71" s="22">
        <f>[1]!Olekuvorrand(E$4,E$5,E$6,5,E$9,Lähteandmed!$C57,E70)</f>
        <v>51.997005939483643</v>
      </c>
      <c r="F71" s="22">
        <f>[1]!Olekuvorrand(F$4,F$5,F$6,5,F$9,Lähteandmed!$C57,F70)</f>
        <v>51.876842975616455</v>
      </c>
      <c r="G71" s="22">
        <f>[1]!Olekuvorrand(G$4,G$5,G$6,5,G$9,Lähteandmed!$C57,G70)</f>
        <v>47.791779041290283</v>
      </c>
      <c r="H71" s="22">
        <f>[1]!Olekuvorrand(H$4,H$5,H$6,5,H$9,Lähteandmed!$C57,H70)</f>
        <v>51.45949125289917</v>
      </c>
      <c r="I71" s="22">
        <f>[1]!Olekuvorrand(I$4,I$5,I$6,5,I$9,Lähteandmed!$C57,I70)</f>
        <v>51.132857799530029</v>
      </c>
      <c r="J71" s="22">
        <f>[1]!Olekuvorrand(J$4,J$5,J$6,5,J$9,Lähteandmed!$C57,J70)</f>
        <v>50.550878047943115</v>
      </c>
      <c r="K71" s="22">
        <f>[1]!Olekuvorrand(K$4,K$5,K$6,5,K$9,Lähteandmed!$C57,K70)</f>
        <v>52.949845790863037</v>
      </c>
      <c r="L71" s="22">
        <f>[1]!Olekuvorrand(L$4,L$5,L$6,5,L$9,Lähteandmed!$C57,L70)</f>
        <v>50.559580326080322</v>
      </c>
      <c r="M71" s="22">
        <f>[1]!Olekuvorrand(M$4,M$5,M$6,5,M$9,Lähteandmed!$C57,M70)</f>
        <v>52.84959077835083</v>
      </c>
      <c r="N71" s="22">
        <f>[1]!Olekuvorrand(N$4,N$5,N$6,5,N$9,Lähteandmed!$C57,N70)</f>
        <v>52.668988704681396</v>
      </c>
      <c r="O71" s="22">
        <f>[1]!Olekuvorrand(O$4,O$5,O$6,5,O$9,Lähteandmed!$C57,O70)</f>
        <v>50.516426563262939</v>
      </c>
      <c r="P71" s="22">
        <f>[1]!Olekuvorrand(P$4,P$5,P$6,5,P$9,Lähteandmed!$C57,P70)</f>
        <v>48.188865184783936</v>
      </c>
      <c r="Q71" s="22">
        <f>[1]!Olekuvorrand(Q$4,Q$5,Q$6,5,Q$9,Lähteandmed!$C57,Q70)</f>
        <v>48.818886280059814</v>
      </c>
      <c r="R71" s="22" t="e">
        <f>[1]!Olekuvorrand(R$4,R$5,R$6,5,R$9,Lähteandmed!$C57,R70)</f>
        <v>#VALUE!</v>
      </c>
      <c r="S71" s="22">
        <f>[1]!Olekuvorrand(S$4,S$5,S$6,5,S$9,Lähteandmed!$C57,S70)</f>
        <v>43.870151042938232</v>
      </c>
      <c r="T71" s="22">
        <f>[1]!Olekuvorrand(T$4,T$5,T$6,5,T$9,Lähteandmed!$C57,T70)</f>
        <v>33.887684345245361</v>
      </c>
    </row>
    <row r="72" spans="1:20" x14ac:dyDescent="0.2">
      <c r="A72" s="159"/>
      <c r="B72" s="174"/>
      <c r="C72" s="77" t="s">
        <v>105</v>
      </c>
      <c r="D72" s="9">
        <f>[1]!ripe(D71,D$9+Lähteandmed!$E57*D$11,D$4,0)</f>
        <v>16.253271170272782</v>
      </c>
      <c r="E72" s="9">
        <f>[1]!ripe(E71,E$9+Lähteandmed!$E57*E$11,E$4,0)</f>
        <v>16.024160034012592</v>
      </c>
      <c r="F72" s="9">
        <f>[1]!ripe(F71,F$9+Lähteandmed!$E57*F$11,F$4,0)</f>
        <v>15.836922065694397</v>
      </c>
      <c r="G72" s="9">
        <f>[1]!ripe(G71,G$9+Lähteandmed!$E57*G$11,G$4,0)</f>
        <v>11.034579872148615</v>
      </c>
      <c r="H72" s="9">
        <f>[1]!ripe(H71,H$9+Lähteandmed!$E57*H$11,H$4,0)</f>
        <v>15.21287838198357</v>
      </c>
      <c r="I72" s="9">
        <f>[1]!ripe(I71,I$9+Lähteandmed!$E57*I$11,I$4,0)</f>
        <v>14.750724400974038</v>
      </c>
      <c r="J72" s="9">
        <f>[1]!ripe(J71,J$9+Lähteandmed!$E57*J$11,J$4,0)</f>
        <v>13.979425222473333</v>
      </c>
      <c r="K72" s="9">
        <f>[1]!ripe(K71,K$9+Lähteandmed!$E57*K$11,K$4,0)</f>
        <v>17.640547299964457</v>
      </c>
      <c r="L72" s="9">
        <f>[1]!ripe(L71,L$9+Lähteandmed!$E57*L$11,L$4,0)</f>
        <v>13.99033880902962</v>
      </c>
      <c r="M72" s="9">
        <f>[1]!ripe(M71,M$9+Lähteandmed!$E57*M$11,M$4,0)</f>
        <v>17.458492177543466</v>
      </c>
      <c r="N72" s="9">
        <f>[1]!ripe(N71,N$9+Lähteandmed!$E57*N$11,N$4,0)</f>
        <v>17.13789230780489</v>
      </c>
      <c r="O72" s="9">
        <f>[1]!ripe(O71,O$9+Lähteandmed!$E57*O$11,O$4,0)</f>
        <v>13.935563222455658</v>
      </c>
      <c r="P72" s="9">
        <f>[1]!ripe(P71,P$9+Lähteandmed!$E57*P$11,P$4,0)</f>
        <v>11.398542714713955</v>
      </c>
      <c r="Q72" s="9">
        <f>[1]!ripe(Q71,Q$9+Lähteandmed!$E57*Q$11,Q$4,0)</f>
        <v>12.012981886173005</v>
      </c>
      <c r="R72" s="9" t="e">
        <f>[1]!ripe(R71,R$9+Lähteandmed!$E57*R$11,R$4,0)</f>
        <v>#VALUE!</v>
      </c>
      <c r="S72" s="9">
        <f>[1]!ripe(S71,S$9+Lähteandmed!$E57*S$11,S$4,0)</f>
        <v>8.1783719947495772</v>
      </c>
      <c r="T72" s="9">
        <f>[1]!ripe(T71,T$9+Lähteandmed!$E57*T$11,T$4,0)</f>
        <v>4.1826289350314196</v>
      </c>
    </row>
    <row r="73" spans="1:20" x14ac:dyDescent="0.2">
      <c r="A73" s="72"/>
      <c r="B73" s="174"/>
      <c r="C73" s="77" t="s">
        <v>49</v>
      </c>
      <c r="D73" s="51">
        <f t="shared" ref="D73:K73" si="50">D72/D$4^2*1000000</f>
        <v>81.269629451808157</v>
      </c>
      <c r="E73" s="51">
        <f t="shared" ref="E73:T73" si="51">E72/E$4^2*1000000</f>
        <v>81.49507694600311</v>
      </c>
      <c r="F73" s="51">
        <f t="shared" si="51"/>
        <v>81.683844986321574</v>
      </c>
      <c r="G73" s="51">
        <f t="shared" si="51"/>
        <v>88.665876956347674</v>
      </c>
      <c r="H73" s="51">
        <f t="shared" si="51"/>
        <v>82.346325174003042</v>
      </c>
      <c r="I73" s="51">
        <f t="shared" si="51"/>
        <v>82.872348277763336</v>
      </c>
      <c r="J73" s="51">
        <f t="shared" si="51"/>
        <v>83.826437119076331</v>
      </c>
      <c r="K73" s="51">
        <f t="shared" si="51"/>
        <v>80.028561683388645</v>
      </c>
      <c r="L73" s="51">
        <f t="shared" si="51"/>
        <v>83.812008973780095</v>
      </c>
      <c r="M73" s="51">
        <f t="shared" si="51"/>
        <v>80.180374863675169</v>
      </c>
      <c r="N73" s="51">
        <f t="shared" si="51"/>
        <v>80.455313538673593</v>
      </c>
      <c r="O73" s="51">
        <f t="shared" si="51"/>
        <v>83.88360555735818</v>
      </c>
      <c r="P73" s="51">
        <f t="shared" si="51"/>
        <v>87.935251924920379</v>
      </c>
      <c r="Q73" s="51">
        <f t="shared" si="51"/>
        <v>86.800423419958605</v>
      </c>
      <c r="R73" s="51" t="e">
        <f t="shared" si="51"/>
        <v>#VALUE!</v>
      </c>
      <c r="S73" s="51">
        <f t="shared" si="51"/>
        <v>96.591871677225711</v>
      </c>
      <c r="T73" s="51">
        <f t="shared" si="51"/>
        <v>125.04542821010268</v>
      </c>
    </row>
    <row r="74" spans="1:20" ht="14.25" customHeight="1" x14ac:dyDescent="0.2">
      <c r="A74" s="172">
        <v>13</v>
      </c>
      <c r="B74" s="173">
        <f>Lähteandmed!B60</f>
        <v>0</v>
      </c>
      <c r="C74" s="76" t="s">
        <v>222</v>
      </c>
      <c r="D74" s="6">
        <f>SQRT((kaalutegur R_13*[1]!juhe(D5,6)+jaitetegur R_13*[1]!Jaitekoormus_EN(D$5,JaideJ_1,hJ_1))^2+(tuuletegur R_13*[1]!Tuulekoormus_en(D$5,QJ_1,hJ_1,zo,D$4,JaideJ_1,jaitetegur R_13))^2)</f>
        <v>0</v>
      </c>
      <c r="E74" s="6">
        <f>SQRT((kaalutegur R_13*[1]!juhe(E5,6)+jaitetegur R_13*[1]!Jaitekoormus_EN(E$5,JaideJ_1,hJ_1))^2+(tuuletegur R_13*[1]!Tuulekoormus_en(E$5,QJ_1,hJ_1,zo,E$4,JaideJ_1,jaitetegur R_13))^2)</f>
        <v>0</v>
      </c>
      <c r="F74" s="6">
        <f>SQRT((kaalutegur R_13*[1]!juhe(F5,6)+jaitetegur R_13*[1]!Jaitekoormus_EN(F$5,JaideJ_1,hJ_1))^2+(tuuletegur R_13*[1]!Tuulekoormus_en(F$5,QJ_1,hJ_1,zo,F$4,JaideJ_1,jaitetegur R_13))^2)</f>
        <v>0</v>
      </c>
      <c r="G74" s="6">
        <f>SQRT((kaalutegur R_13*[1]!juhe(G5,6)+jaitetegur R_13*[1]!Jaitekoormus_EN(G$5,JaideJ_1,hJ_1))^2+(tuuletegur R_13*[1]!Tuulekoormus_en(G$5,QJ_1,hJ_1,zo,G$4,JaideJ_1,jaitetegur R_13))^2)</f>
        <v>0</v>
      </c>
      <c r="H74" s="6">
        <f>SQRT((kaalutegur R_13*[1]!juhe(H5,6)+jaitetegur R_13*[1]!Jaitekoormus_EN(H$5,JaideJ_1,hJ_1))^2+(tuuletegur R_13*[1]!Tuulekoormus_en(H$5,QJ_1,hJ_1,zo,H$4,JaideJ_1,jaitetegur R_13))^2)</f>
        <v>0</v>
      </c>
      <c r="I74" s="6">
        <f>SQRT((kaalutegur R_13*[1]!juhe(I5,6)+jaitetegur R_13*[1]!Jaitekoormus_EN(I$5,JaideJ_1,hJ_1))^2+(tuuletegur R_13*[1]!Tuulekoormus_en(I$5,QJ_1,hJ_1,zo,I$4,JaideJ_1,jaitetegur R_13))^2)</f>
        <v>0</v>
      </c>
      <c r="J74" s="6">
        <f>SQRT((kaalutegur R_13*[1]!juhe(J5,6)+jaitetegur R_13*[1]!Jaitekoormus_EN(J$5,JaideJ_1,hJ_1))^2+(tuuletegur R_13*[1]!Tuulekoormus_en(J$5,QJ_1,hJ_1,zo,J$4,JaideJ_1,jaitetegur R_13))^2)</f>
        <v>0</v>
      </c>
      <c r="K74" s="6">
        <f>SQRT((kaalutegur R_13*[1]!juhe(K5,6)+jaitetegur R_13*[1]!Jaitekoormus_EN(K$5,JaideJ_1,hJ_1))^2+(tuuletegur R_13*[1]!Tuulekoormus_en(K$5,QJ_1,hJ_1,zo,K$4,JaideJ_1,jaitetegur R_13))^2)</f>
        <v>0</v>
      </c>
      <c r="L74" s="6">
        <f>SQRT((kaalutegur R_13*[1]!juhe(L5,6)+jaitetegur R_13*[1]!Jaitekoormus_EN(L$5,JaideJ_1,hJ_1))^2+(tuuletegur R_13*[1]!Tuulekoormus_en(L$5,QJ_1,hJ_1,zo,L$4,JaideJ_1,jaitetegur R_13))^2)</f>
        <v>0</v>
      </c>
      <c r="M74" s="6">
        <f>SQRT((kaalutegur R_13*[1]!juhe(M5,6)+jaitetegur R_13*[1]!Jaitekoormus_EN(M$5,JaideJ_1,hJ_1))^2+(tuuletegur R_13*[1]!Tuulekoormus_en(M$5,QJ_1,hJ_1,zo,M$4,JaideJ_1,jaitetegur R_13))^2)</f>
        <v>0</v>
      </c>
      <c r="N74" s="6">
        <f>SQRT((kaalutegur R_13*[1]!juhe(N5,6)+jaitetegur R_13*[1]!Jaitekoormus_EN(N$5,JaideJ_1,hJ_1))^2+(tuuletegur R_13*[1]!Tuulekoormus_en(N$5,QJ_1,hJ_1,zo,N$4,JaideJ_1,jaitetegur R_13))^2)</f>
        <v>0</v>
      </c>
      <c r="O74" s="6">
        <f>SQRT((kaalutegur R_13*[1]!juhe(O5,6)+jaitetegur R_13*[1]!Jaitekoormus_EN(O$5,JaideJ_1,hJ_1))^2+(tuuletegur R_13*[1]!Tuulekoormus_en(O$5,QJ_1,hJ_1,zo,O$4,JaideJ_1,jaitetegur R_13))^2)</f>
        <v>0</v>
      </c>
      <c r="P74" s="6">
        <f>SQRT((kaalutegur R_13*[1]!juhe(P5,6)+jaitetegur R_13*[1]!Jaitekoormus_EN(P$5,JaideJ_1,hJ_1))^2+(tuuletegur R_13*[1]!Tuulekoormus_en(P$5,QJ_1,hJ_1,zo,P$4,JaideJ_1,jaitetegur R_13))^2)</f>
        <v>0</v>
      </c>
      <c r="Q74" s="6">
        <f>SQRT((kaalutegur R_13*[1]!juhe(Q5,6)+jaitetegur R_13*[1]!Jaitekoormus_EN(Q$5,JaideJ_1,hJ_1))^2+(tuuletegur R_13*[1]!Tuulekoormus_en(Q$5,QJ_1,hJ_1,zo,Q$4,JaideJ_1,jaitetegur R_13))^2)</f>
        <v>0</v>
      </c>
      <c r="R74" s="6" t="e">
        <f>SQRT((kaalutegur R_13*[1]!juhe(R5,6)+jaitetegur R_13*[1]!Jaitekoormus_EN(R$5,JaideJ_1,hJ_1))^2+(tuuletegur R_13*[1]!Tuulekoormus_en(R$5,QJ_1,hJ_1,zo,R$4,JaideJ_1,jaitetegur R_13))^2)</f>
        <v>#VALUE!</v>
      </c>
      <c r="S74" s="6">
        <f>SQRT((kaalutegur R_13*[1]!juhe(S5,6)+jaitetegur R_13*[1]!Jaitekoormus_EN(S$5,JaideJ_1,hJ_1))^2+(tuuletegur R_13*[1]!Tuulekoormus_en(S$5,QJ_1,hJ_1,zo,S$4,JaideJ_1,jaitetegur R_13))^2)</f>
        <v>0</v>
      </c>
      <c r="T74" s="6">
        <f>SQRT((kaalutegur R_13*[1]!juhe(T5,6)+jaitetegur R_13*[1]!Jaitekoormus_EN(T$5,JaideJ_1,hJ_1))^2+(tuuletegur R_13*[1]!Tuulekoormus_en(T$5,QJ_1,hJ_1,zo,T$4,JaideJ_1,jaitetegur R_13))^2)</f>
        <v>0</v>
      </c>
    </row>
    <row r="75" spans="1:20" ht="14.25" customHeight="1" x14ac:dyDescent="0.2">
      <c r="A75" s="172"/>
      <c r="B75" s="173"/>
      <c r="C75" s="76" t="s">
        <v>104</v>
      </c>
      <c r="D75" s="3">
        <f>[1]!Olekuvorrand(D$4,D$5,D$6,5,D$9,Lähteandmed!$C60,D74)</f>
        <v>0</v>
      </c>
      <c r="E75" s="3">
        <f>[1]!Olekuvorrand(E$4,E$5,E$6,5,E$9,Lähteandmed!$C60,E74)</f>
        <v>0</v>
      </c>
      <c r="F75" s="3">
        <f>[1]!Olekuvorrand(F$4,F$5,F$6,5,F$9,Lähteandmed!$C60,F74)</f>
        <v>0</v>
      </c>
      <c r="G75" s="3">
        <f>[1]!Olekuvorrand(G$4,G$5,G$6,5,G$9,Lähteandmed!$C60,G74)</f>
        <v>0</v>
      </c>
      <c r="H75" s="3">
        <f>[1]!Olekuvorrand(H$4,H$5,H$6,5,H$9,Lähteandmed!$C60,H74)</f>
        <v>0</v>
      </c>
      <c r="I75" s="3">
        <f>[1]!Olekuvorrand(I$4,I$5,I$6,5,I$9,Lähteandmed!$C60,I74)</f>
        <v>0</v>
      </c>
      <c r="J75" s="3">
        <f>[1]!Olekuvorrand(J$4,J$5,J$6,5,J$9,Lähteandmed!$C60,J74)</f>
        <v>0</v>
      </c>
      <c r="K75" s="3">
        <f>[1]!Olekuvorrand(K$4,K$5,K$6,5,K$9,Lähteandmed!$C60,K74)</f>
        <v>0</v>
      </c>
      <c r="L75" s="3">
        <f>[1]!Olekuvorrand(L$4,L$5,L$6,5,L$9,Lähteandmed!$C60,L74)</f>
        <v>0</v>
      </c>
      <c r="M75" s="3">
        <f>[1]!Olekuvorrand(M$4,M$5,M$6,5,M$9,Lähteandmed!$C60,M74)</f>
        <v>0</v>
      </c>
      <c r="N75" s="3">
        <f>[1]!Olekuvorrand(N$4,N$5,N$6,5,N$9,Lähteandmed!$C60,N74)</f>
        <v>0</v>
      </c>
      <c r="O75" s="3">
        <f>[1]!Olekuvorrand(O$4,O$5,O$6,5,O$9,Lähteandmed!$C60,O74)</f>
        <v>0</v>
      </c>
      <c r="P75" s="3">
        <f>[1]!Olekuvorrand(P$4,P$5,P$6,5,P$9,Lähteandmed!$C60,P74)</f>
        <v>0</v>
      </c>
      <c r="Q75" s="3">
        <f>[1]!Olekuvorrand(Q$4,Q$5,Q$6,5,Q$9,Lähteandmed!$C60,Q74)</f>
        <v>0</v>
      </c>
      <c r="R75" s="3" t="e">
        <f>[1]!Olekuvorrand(R$4,R$5,R$6,5,R$9,Lähteandmed!$C60,R74)</f>
        <v>#VALUE!</v>
      </c>
      <c r="S75" s="3">
        <f>[1]!Olekuvorrand(S$4,S$5,S$6,5,S$9,Lähteandmed!$C60,S74)</f>
        <v>0</v>
      </c>
      <c r="T75" s="3">
        <f>[1]!Olekuvorrand(T$4,T$5,T$6,5,T$9,Lähteandmed!$C60,T74)</f>
        <v>0</v>
      </c>
    </row>
    <row r="76" spans="1:20" ht="14.25" customHeight="1" x14ac:dyDescent="0.2">
      <c r="A76" s="172"/>
      <c r="B76" s="173"/>
      <c r="C76" s="76" t="s">
        <v>105</v>
      </c>
      <c r="D76" s="3">
        <f>[1]!ripe(D75,D$9+Lähteandmed!$E60*D$11,D$4,0)</f>
        <v>0</v>
      </c>
      <c r="E76" s="3">
        <f>[1]!ripe(E75,E$9+Lähteandmed!$E60*E$11,E$4,0)</f>
        <v>0</v>
      </c>
      <c r="F76" s="3">
        <f>[1]!ripe(F75,F$9+Lähteandmed!$E60*F$11,F$4,0)</f>
        <v>0</v>
      </c>
      <c r="G76" s="3">
        <f>[1]!ripe(G75,G$9+Lähteandmed!$E60*G$11,G$4,0)</f>
        <v>0</v>
      </c>
      <c r="H76" s="3">
        <f>[1]!ripe(H75,H$9+Lähteandmed!$E60*H$11,H$4,0)</f>
        <v>0</v>
      </c>
      <c r="I76" s="3">
        <f>[1]!ripe(I75,I$9+Lähteandmed!$E60*I$11,I$4,0)</f>
        <v>0</v>
      </c>
      <c r="J76" s="3">
        <f>[1]!ripe(J75,J$9+Lähteandmed!$E60*J$11,J$4,0)</f>
        <v>0</v>
      </c>
      <c r="K76" s="3">
        <f>[1]!ripe(K75,K$9+Lähteandmed!$E60*K$11,K$4,0)</f>
        <v>0</v>
      </c>
      <c r="L76" s="3">
        <f>[1]!ripe(L75,L$9+Lähteandmed!$E60*L$11,L$4,0)</f>
        <v>0</v>
      </c>
      <c r="M76" s="3">
        <f>[1]!ripe(M75,M$9+Lähteandmed!$E60*M$11,M$4,0)</f>
        <v>0</v>
      </c>
      <c r="N76" s="3">
        <f>[1]!ripe(N75,N$9+Lähteandmed!$E60*N$11,N$4,0)</f>
        <v>0</v>
      </c>
      <c r="O76" s="3">
        <f>[1]!ripe(O75,O$9+Lähteandmed!$E60*O$11,O$4,0)</f>
        <v>0</v>
      </c>
      <c r="P76" s="3">
        <f>[1]!ripe(P75,P$9+Lähteandmed!$E60*P$11,P$4,0)</f>
        <v>0</v>
      </c>
      <c r="Q76" s="3">
        <f>[1]!ripe(Q75,Q$9+Lähteandmed!$E60*Q$11,Q$4,0)</f>
        <v>0</v>
      </c>
      <c r="R76" s="3" t="e">
        <f>[1]!ripe(R75,R$9+Lähteandmed!$E60*R$11,R$4,0)</f>
        <v>#VALUE!</v>
      </c>
      <c r="S76" s="3">
        <f>[1]!ripe(S75,S$9+Lähteandmed!$E60*S$11,S$4,0)</f>
        <v>0</v>
      </c>
      <c r="T76" s="3">
        <f>[1]!ripe(T75,T$9+Lähteandmed!$E60*T$11,T$4,0)</f>
        <v>0</v>
      </c>
    </row>
    <row r="77" spans="1:20" ht="14.25" customHeight="1" x14ac:dyDescent="0.2">
      <c r="A77" s="73"/>
      <c r="B77" s="173"/>
      <c r="C77" s="76" t="s">
        <v>49</v>
      </c>
      <c r="D77" s="50">
        <f t="shared" ref="D77:K77" si="52">D76/D$4^2*1000000</f>
        <v>0</v>
      </c>
      <c r="E77" s="50">
        <f t="shared" ref="E77:T77" si="53">E76/E$4^2*1000000</f>
        <v>0</v>
      </c>
      <c r="F77" s="50">
        <f t="shared" si="53"/>
        <v>0</v>
      </c>
      <c r="G77" s="50">
        <f t="shared" si="53"/>
        <v>0</v>
      </c>
      <c r="H77" s="50">
        <f t="shared" si="53"/>
        <v>0</v>
      </c>
      <c r="I77" s="50">
        <f t="shared" si="53"/>
        <v>0</v>
      </c>
      <c r="J77" s="50">
        <f t="shared" si="53"/>
        <v>0</v>
      </c>
      <c r="K77" s="50">
        <f t="shared" si="53"/>
        <v>0</v>
      </c>
      <c r="L77" s="50">
        <f t="shared" si="53"/>
        <v>0</v>
      </c>
      <c r="M77" s="50">
        <f t="shared" si="53"/>
        <v>0</v>
      </c>
      <c r="N77" s="50">
        <f t="shared" si="53"/>
        <v>0</v>
      </c>
      <c r="O77" s="50">
        <f t="shared" si="53"/>
        <v>0</v>
      </c>
      <c r="P77" s="50">
        <f t="shared" si="53"/>
        <v>0</v>
      </c>
      <c r="Q77" s="50">
        <f t="shared" si="53"/>
        <v>0</v>
      </c>
      <c r="R77" s="50" t="e">
        <f t="shared" si="53"/>
        <v>#VALUE!</v>
      </c>
      <c r="S77" s="50">
        <f t="shared" si="53"/>
        <v>0</v>
      </c>
      <c r="T77" s="50">
        <f t="shared" si="53"/>
        <v>0</v>
      </c>
    </row>
    <row r="78" spans="1:20" ht="38.25" x14ac:dyDescent="0.2">
      <c r="A78" s="159">
        <v>14</v>
      </c>
      <c r="B78" s="174">
        <f>Lähteandmed!B63</f>
        <v>0</v>
      </c>
      <c r="C78" s="77" t="s">
        <v>222</v>
      </c>
      <c r="D78" s="9">
        <f>SQRT((kaalutegur R_14*[1]!juhe(D5,6)+jaitetegur R_14*[1]!Jaitekoormus_EN(D$5,JaideJ_1,hJ_1))^2+(tuuletegur R_14*[1]!Tuulekoormus_en(D$5,QJ_1,hJ_1,zo,D$4,JaideJ_1,jaitetegur R_14))^2)</f>
        <v>0</v>
      </c>
      <c r="E78" s="9">
        <f>SQRT((kaalutegur R_14*[1]!juhe(E5,6)+jaitetegur R_14*[1]!Jaitekoormus_EN(E$5,JaideJ_1,hJ_1))^2+(tuuletegur R_14*[1]!Tuulekoormus_en(E$5,QJ_1,hJ_1,zo,E$4,JaideJ_1,jaitetegur R_14))^2)</f>
        <v>0</v>
      </c>
      <c r="F78" s="9">
        <f>SQRT((kaalutegur R_14*[1]!juhe(F5,6)+jaitetegur R_14*[1]!Jaitekoormus_EN(F$5,JaideJ_1,hJ_1))^2+(tuuletegur R_14*[1]!Tuulekoormus_en(F$5,QJ_1,hJ_1,zo,F$4,JaideJ_1,jaitetegur R_14))^2)</f>
        <v>0</v>
      </c>
      <c r="G78" s="9">
        <f>SQRT((kaalutegur R_14*[1]!juhe(G5,6)+jaitetegur R_14*[1]!Jaitekoormus_EN(G$5,JaideJ_1,hJ_1))^2+(tuuletegur R_14*[1]!Tuulekoormus_en(G$5,QJ_1,hJ_1,zo,G$4,JaideJ_1,jaitetegur R_14))^2)</f>
        <v>0</v>
      </c>
      <c r="H78" s="9">
        <f>SQRT((kaalutegur R_14*[1]!juhe(H5,6)+jaitetegur R_14*[1]!Jaitekoormus_EN(H$5,JaideJ_1,hJ_1))^2+(tuuletegur R_14*[1]!Tuulekoormus_en(H$5,QJ_1,hJ_1,zo,H$4,JaideJ_1,jaitetegur R_14))^2)</f>
        <v>0</v>
      </c>
      <c r="I78" s="9">
        <f>SQRT((kaalutegur R_14*[1]!juhe(I5,6)+jaitetegur R_14*[1]!Jaitekoormus_EN(I$5,JaideJ_1,hJ_1))^2+(tuuletegur R_14*[1]!Tuulekoormus_en(I$5,QJ_1,hJ_1,zo,I$4,JaideJ_1,jaitetegur R_14))^2)</f>
        <v>0</v>
      </c>
      <c r="J78" s="9">
        <f>SQRT((kaalutegur R_14*[1]!juhe(J5,6)+jaitetegur R_14*[1]!Jaitekoormus_EN(J$5,JaideJ_1,hJ_1))^2+(tuuletegur R_14*[1]!Tuulekoormus_en(J$5,QJ_1,hJ_1,zo,J$4,JaideJ_1,jaitetegur R_14))^2)</f>
        <v>0</v>
      </c>
      <c r="K78" s="9">
        <f>SQRT((kaalutegur R_14*[1]!juhe(K5,6)+jaitetegur R_14*[1]!Jaitekoormus_EN(K$5,JaideJ_1,hJ_1))^2+(tuuletegur R_14*[1]!Tuulekoormus_en(K$5,QJ_1,hJ_1,zo,K$4,JaideJ_1,jaitetegur R_14))^2)</f>
        <v>0</v>
      </c>
      <c r="L78" s="9">
        <f>SQRT((kaalutegur R_14*[1]!juhe(L5,6)+jaitetegur R_14*[1]!Jaitekoormus_EN(L$5,JaideJ_1,hJ_1))^2+(tuuletegur R_14*[1]!Tuulekoormus_en(L$5,QJ_1,hJ_1,zo,L$4,JaideJ_1,jaitetegur R_14))^2)</f>
        <v>0</v>
      </c>
      <c r="M78" s="9">
        <f>SQRT((kaalutegur R_14*[1]!juhe(M5,6)+jaitetegur R_14*[1]!Jaitekoormus_EN(M$5,JaideJ_1,hJ_1))^2+(tuuletegur R_14*[1]!Tuulekoormus_en(M$5,QJ_1,hJ_1,zo,M$4,JaideJ_1,jaitetegur R_14))^2)</f>
        <v>0</v>
      </c>
      <c r="N78" s="9">
        <f>SQRT((kaalutegur R_14*[1]!juhe(N5,6)+jaitetegur R_14*[1]!Jaitekoormus_EN(N$5,JaideJ_1,hJ_1))^2+(tuuletegur R_14*[1]!Tuulekoormus_en(N$5,QJ_1,hJ_1,zo,N$4,JaideJ_1,jaitetegur R_14))^2)</f>
        <v>0</v>
      </c>
      <c r="O78" s="9">
        <f>SQRT((kaalutegur R_14*[1]!juhe(O5,6)+jaitetegur R_14*[1]!Jaitekoormus_EN(O$5,JaideJ_1,hJ_1))^2+(tuuletegur R_14*[1]!Tuulekoormus_en(O$5,QJ_1,hJ_1,zo,O$4,JaideJ_1,jaitetegur R_14))^2)</f>
        <v>0</v>
      </c>
      <c r="P78" s="9">
        <f>SQRT((kaalutegur R_14*[1]!juhe(P5,6)+jaitetegur R_14*[1]!Jaitekoormus_EN(P$5,JaideJ_1,hJ_1))^2+(tuuletegur R_14*[1]!Tuulekoormus_en(P$5,QJ_1,hJ_1,zo,P$4,JaideJ_1,jaitetegur R_14))^2)</f>
        <v>0</v>
      </c>
      <c r="Q78" s="9">
        <f>SQRT((kaalutegur R_14*[1]!juhe(Q5,6)+jaitetegur R_14*[1]!Jaitekoormus_EN(Q$5,JaideJ_1,hJ_1))^2+(tuuletegur R_14*[1]!Tuulekoormus_en(Q$5,QJ_1,hJ_1,zo,Q$4,JaideJ_1,jaitetegur R_14))^2)</f>
        <v>0</v>
      </c>
      <c r="R78" s="9" t="e">
        <f>SQRT((kaalutegur R_14*[1]!juhe(R5,6)+jaitetegur R_14*[1]!Jaitekoormus_EN(R$5,JaideJ_1,hJ_1))^2+(tuuletegur R_14*[1]!Tuulekoormus_en(R$5,QJ_1,hJ_1,zo,R$4,JaideJ_1,jaitetegur R_14))^2)</f>
        <v>#VALUE!</v>
      </c>
      <c r="S78" s="9">
        <f>SQRT((kaalutegur R_14*[1]!juhe(S5,6)+jaitetegur R_14*[1]!Jaitekoormus_EN(S$5,JaideJ_1,hJ_1))^2+(tuuletegur R_14*[1]!Tuulekoormus_en(S$5,QJ_1,hJ_1,zo,S$4,JaideJ_1,jaitetegur R_14))^2)</f>
        <v>0</v>
      </c>
      <c r="T78" s="9">
        <f>SQRT((kaalutegur R_14*[1]!juhe(T5,6)+jaitetegur R_14*[1]!Jaitekoormus_EN(T$5,JaideJ_1,hJ_1))^2+(tuuletegur R_14*[1]!Tuulekoormus_en(T$5,QJ_1,hJ_1,zo,T$4,JaideJ_1,jaitetegur R_14))^2)</f>
        <v>0</v>
      </c>
    </row>
    <row r="79" spans="1:20" x14ac:dyDescent="0.2">
      <c r="A79" s="159"/>
      <c r="B79" s="174"/>
      <c r="C79" s="77" t="s">
        <v>104</v>
      </c>
      <c r="D79" s="22">
        <f>[1]!Olekuvorrand(D$4,D$5,D$6,5,D$9,Lähteandmed!$C63,D78)</f>
        <v>0</v>
      </c>
      <c r="E79" s="22">
        <f>[1]!Olekuvorrand(E$4,E$5,E$6,5,E$9,Lähteandmed!$C63,E78)</f>
        <v>0</v>
      </c>
      <c r="F79" s="22">
        <f>[1]!Olekuvorrand(F$4,F$5,F$6,5,F$9,Lähteandmed!$C63,F78)</f>
        <v>0</v>
      </c>
      <c r="G79" s="22">
        <f>[1]!Olekuvorrand(G$4,G$5,G$6,5,G$9,Lähteandmed!$C63,G78)</f>
        <v>0</v>
      </c>
      <c r="H79" s="22">
        <f>[1]!Olekuvorrand(H$4,H$5,H$6,5,H$9,Lähteandmed!$C63,H78)</f>
        <v>0</v>
      </c>
      <c r="I79" s="22">
        <f>[1]!Olekuvorrand(I$4,I$5,I$6,5,I$9,Lähteandmed!$C63,I78)</f>
        <v>0</v>
      </c>
      <c r="J79" s="22">
        <f>[1]!Olekuvorrand(J$4,J$5,J$6,5,J$9,Lähteandmed!$C63,J78)</f>
        <v>0</v>
      </c>
      <c r="K79" s="22">
        <f>[1]!Olekuvorrand(K$4,K$5,K$6,5,K$9,Lähteandmed!$C63,K78)</f>
        <v>0</v>
      </c>
      <c r="L79" s="22">
        <f>[1]!Olekuvorrand(L$4,L$5,L$6,5,L$9,Lähteandmed!$C63,L78)</f>
        <v>0</v>
      </c>
      <c r="M79" s="22">
        <f>[1]!Olekuvorrand(M$4,M$5,M$6,5,M$9,Lähteandmed!$C63,M78)</f>
        <v>0</v>
      </c>
      <c r="N79" s="22">
        <f>[1]!Olekuvorrand(N$4,N$5,N$6,5,N$9,Lähteandmed!$C63,N78)</f>
        <v>0</v>
      </c>
      <c r="O79" s="22">
        <f>[1]!Olekuvorrand(O$4,O$5,O$6,5,O$9,Lähteandmed!$C63,O78)</f>
        <v>0</v>
      </c>
      <c r="P79" s="22">
        <f>[1]!Olekuvorrand(P$4,P$5,P$6,5,P$9,Lähteandmed!$C63,P78)</f>
        <v>0</v>
      </c>
      <c r="Q79" s="22">
        <f>[1]!Olekuvorrand(Q$4,Q$5,Q$6,5,Q$9,Lähteandmed!$C63,Q78)</f>
        <v>0</v>
      </c>
      <c r="R79" s="22" t="e">
        <f>[1]!Olekuvorrand(R$4,R$5,R$6,5,R$9,Lähteandmed!$C63,R78)</f>
        <v>#VALUE!</v>
      </c>
      <c r="S79" s="22">
        <f>[1]!Olekuvorrand(S$4,S$5,S$6,5,S$9,Lähteandmed!$C63,S78)</f>
        <v>0</v>
      </c>
      <c r="T79" s="22">
        <f>[1]!Olekuvorrand(T$4,T$5,T$6,5,T$9,Lähteandmed!$C63,T78)</f>
        <v>0</v>
      </c>
    </row>
    <row r="80" spans="1:20" x14ac:dyDescent="0.2">
      <c r="A80" s="159"/>
      <c r="B80" s="174"/>
      <c r="C80" s="77" t="s">
        <v>105</v>
      </c>
      <c r="D80" s="9">
        <f>[1]!ripe(D79,D$9+Lähteandmed!$E63*D$11,D$4,0)</f>
        <v>0</v>
      </c>
      <c r="E80" s="9">
        <f>[1]!ripe(E79,E$9+Lähteandmed!$E63*E$11,E$4,0)</f>
        <v>0</v>
      </c>
      <c r="F80" s="9">
        <f>[1]!ripe(F79,F$9+Lähteandmed!$E63*F$11,F$4,0)</f>
        <v>0</v>
      </c>
      <c r="G80" s="9">
        <f>[1]!ripe(G79,G$9+Lähteandmed!$E63*G$11,G$4,0)</f>
        <v>0</v>
      </c>
      <c r="H80" s="9">
        <f>[1]!ripe(H79,H$9+Lähteandmed!$E63*H$11,H$4,0)</f>
        <v>0</v>
      </c>
      <c r="I80" s="9">
        <f>[1]!ripe(I79,I$9+Lähteandmed!$E63*I$11,I$4,0)</f>
        <v>0</v>
      </c>
      <c r="J80" s="9">
        <f>[1]!ripe(J79,J$9+Lähteandmed!$E63*J$11,J$4,0)</f>
        <v>0</v>
      </c>
      <c r="K80" s="9">
        <f>[1]!ripe(K79,K$9+Lähteandmed!$E63*K$11,K$4,0)</f>
        <v>0</v>
      </c>
      <c r="L80" s="9">
        <f>[1]!ripe(L79,L$9+Lähteandmed!$E63*L$11,L$4,0)</f>
        <v>0</v>
      </c>
      <c r="M80" s="9">
        <f>[1]!ripe(M79,M$9+Lähteandmed!$E63*M$11,M$4,0)</f>
        <v>0</v>
      </c>
      <c r="N80" s="9">
        <f>[1]!ripe(N79,N$9+Lähteandmed!$E63*N$11,N$4,0)</f>
        <v>0</v>
      </c>
      <c r="O80" s="9">
        <f>[1]!ripe(O79,O$9+Lähteandmed!$E63*O$11,O$4,0)</f>
        <v>0</v>
      </c>
      <c r="P80" s="9">
        <f>[1]!ripe(P79,P$9+Lähteandmed!$E63*P$11,P$4,0)</f>
        <v>0</v>
      </c>
      <c r="Q80" s="9">
        <f>[1]!ripe(Q79,Q$9+Lähteandmed!$E63*Q$11,Q$4,0)</f>
        <v>0</v>
      </c>
      <c r="R80" s="9" t="e">
        <f>[1]!ripe(R79,R$9+Lähteandmed!$E63*R$11,R$4,0)</f>
        <v>#VALUE!</v>
      </c>
      <c r="S80" s="9">
        <f>[1]!ripe(S79,S$9+Lähteandmed!$E63*S$11,S$4,0)</f>
        <v>0</v>
      </c>
      <c r="T80" s="9">
        <f>[1]!ripe(T79,T$9+Lähteandmed!$E63*T$11,T$4,0)</f>
        <v>0</v>
      </c>
    </row>
    <row r="81" spans="1:20" x14ac:dyDescent="0.2">
      <c r="A81" s="72"/>
      <c r="B81" s="174"/>
      <c r="C81" s="77" t="s">
        <v>49</v>
      </c>
      <c r="D81" s="51">
        <f t="shared" ref="D81:K81" si="54">D80/D$4^2*1000000</f>
        <v>0</v>
      </c>
      <c r="E81" s="51">
        <f t="shared" ref="E81:T81" si="55">E80/E$4^2*1000000</f>
        <v>0</v>
      </c>
      <c r="F81" s="51">
        <f t="shared" si="55"/>
        <v>0</v>
      </c>
      <c r="G81" s="51">
        <f t="shared" si="55"/>
        <v>0</v>
      </c>
      <c r="H81" s="51">
        <f t="shared" si="55"/>
        <v>0</v>
      </c>
      <c r="I81" s="51">
        <f t="shared" si="55"/>
        <v>0</v>
      </c>
      <c r="J81" s="51">
        <f t="shared" si="55"/>
        <v>0</v>
      </c>
      <c r="K81" s="51">
        <f t="shared" si="55"/>
        <v>0</v>
      </c>
      <c r="L81" s="51">
        <f t="shared" si="55"/>
        <v>0</v>
      </c>
      <c r="M81" s="51">
        <f t="shared" si="55"/>
        <v>0</v>
      </c>
      <c r="N81" s="51">
        <f t="shared" si="55"/>
        <v>0</v>
      </c>
      <c r="O81" s="51">
        <f t="shared" si="55"/>
        <v>0</v>
      </c>
      <c r="P81" s="51">
        <f t="shared" si="55"/>
        <v>0</v>
      </c>
      <c r="Q81" s="51">
        <f t="shared" si="55"/>
        <v>0</v>
      </c>
      <c r="R81" s="51" t="e">
        <f t="shared" si="55"/>
        <v>#VALUE!</v>
      </c>
      <c r="S81" s="51">
        <f t="shared" si="55"/>
        <v>0</v>
      </c>
      <c r="T81" s="51">
        <f t="shared" si="55"/>
        <v>0</v>
      </c>
    </row>
    <row r="82" spans="1:20" ht="38.25" x14ac:dyDescent="0.2">
      <c r="A82" s="172">
        <v>15</v>
      </c>
      <c r="B82" s="173">
        <f>Lähteandmed!B66</f>
        <v>0</v>
      </c>
      <c r="C82" s="76" t="s">
        <v>222</v>
      </c>
      <c r="D82" s="6">
        <f>SQRT((kaalutegur R_15*[1]!juhe(D5,6)+jaitetegur R_15*[1]!Jaitekoormus_EN(D$5,JaideJ_1,hJ_1))^2+(tuuletegur R_15*[1]!Tuulekoormus_en(D$5,QJ_1,hJ_1,zo,D$4,JaideJ_1,jaitetegur R_15))^2)</f>
        <v>0</v>
      </c>
      <c r="E82" s="6">
        <f>SQRT((kaalutegur R_15*[1]!juhe(E5,6)+jaitetegur R_15*[1]!Jaitekoormus_EN(E$5,JaideJ_1,hJ_1))^2+(tuuletegur R_15*[1]!Tuulekoormus_en(E$5,QJ_1,hJ_1,zo,E$4,JaideJ_1,jaitetegur R_15))^2)</f>
        <v>0</v>
      </c>
      <c r="F82" s="6">
        <f>SQRT((kaalutegur R_15*[1]!juhe(F5,6)+jaitetegur R_15*[1]!Jaitekoormus_EN(F$5,JaideJ_1,hJ_1))^2+(tuuletegur R_15*[1]!Tuulekoormus_en(F$5,QJ_1,hJ_1,zo,F$4,JaideJ_1,jaitetegur R_15))^2)</f>
        <v>0</v>
      </c>
      <c r="G82" s="6">
        <f>SQRT((kaalutegur R_15*[1]!juhe(G5,6)+jaitetegur R_15*[1]!Jaitekoormus_EN(G$5,JaideJ_1,hJ_1))^2+(tuuletegur R_15*[1]!Tuulekoormus_en(G$5,QJ_1,hJ_1,zo,G$4,JaideJ_1,jaitetegur R_15))^2)</f>
        <v>0</v>
      </c>
      <c r="H82" s="6">
        <f>SQRT((kaalutegur R_15*[1]!juhe(H5,6)+jaitetegur R_15*[1]!Jaitekoormus_EN(H$5,JaideJ_1,hJ_1))^2+(tuuletegur R_15*[1]!Tuulekoormus_en(H$5,QJ_1,hJ_1,zo,H$4,JaideJ_1,jaitetegur R_15))^2)</f>
        <v>0</v>
      </c>
      <c r="I82" s="6">
        <f>SQRT((kaalutegur R_15*[1]!juhe(I5,6)+jaitetegur R_15*[1]!Jaitekoormus_EN(I$5,JaideJ_1,hJ_1))^2+(tuuletegur R_15*[1]!Tuulekoormus_en(I$5,QJ_1,hJ_1,zo,I$4,JaideJ_1,jaitetegur R_15))^2)</f>
        <v>0</v>
      </c>
      <c r="J82" s="6">
        <f>SQRT((kaalutegur R_15*[1]!juhe(J5,6)+jaitetegur R_15*[1]!Jaitekoormus_EN(J$5,JaideJ_1,hJ_1))^2+(tuuletegur R_15*[1]!Tuulekoormus_en(J$5,QJ_1,hJ_1,zo,J$4,JaideJ_1,jaitetegur R_15))^2)</f>
        <v>0</v>
      </c>
      <c r="K82" s="6">
        <f>SQRT((kaalutegur R_15*[1]!juhe(K5,6)+jaitetegur R_15*[1]!Jaitekoormus_EN(K$5,JaideJ_1,hJ_1))^2+(tuuletegur R_15*[1]!Tuulekoormus_en(K$5,QJ_1,hJ_1,zo,K$4,JaideJ_1,jaitetegur R_15))^2)</f>
        <v>0</v>
      </c>
      <c r="L82" s="6">
        <f>SQRT((kaalutegur R_15*[1]!juhe(L5,6)+jaitetegur R_15*[1]!Jaitekoormus_EN(L$5,JaideJ_1,hJ_1))^2+(tuuletegur R_15*[1]!Tuulekoormus_en(L$5,QJ_1,hJ_1,zo,L$4,JaideJ_1,jaitetegur R_15))^2)</f>
        <v>0</v>
      </c>
      <c r="M82" s="6">
        <f>SQRT((kaalutegur R_15*[1]!juhe(M5,6)+jaitetegur R_15*[1]!Jaitekoormus_EN(M$5,JaideJ_1,hJ_1))^2+(tuuletegur R_15*[1]!Tuulekoormus_en(M$5,QJ_1,hJ_1,zo,M$4,JaideJ_1,jaitetegur R_15))^2)</f>
        <v>0</v>
      </c>
      <c r="N82" s="6">
        <f>SQRT((kaalutegur R_15*[1]!juhe(N5,6)+jaitetegur R_15*[1]!Jaitekoormus_EN(N$5,JaideJ_1,hJ_1))^2+(tuuletegur R_15*[1]!Tuulekoormus_en(N$5,QJ_1,hJ_1,zo,N$4,JaideJ_1,jaitetegur R_15))^2)</f>
        <v>0</v>
      </c>
      <c r="O82" s="6">
        <f>SQRT((kaalutegur R_15*[1]!juhe(O5,6)+jaitetegur R_15*[1]!Jaitekoormus_EN(O$5,JaideJ_1,hJ_1))^2+(tuuletegur R_15*[1]!Tuulekoormus_en(O$5,QJ_1,hJ_1,zo,O$4,JaideJ_1,jaitetegur R_15))^2)</f>
        <v>0</v>
      </c>
      <c r="P82" s="6">
        <f>SQRT((kaalutegur R_15*[1]!juhe(P5,6)+jaitetegur R_15*[1]!Jaitekoormus_EN(P$5,JaideJ_1,hJ_1))^2+(tuuletegur R_15*[1]!Tuulekoormus_en(P$5,QJ_1,hJ_1,zo,P$4,JaideJ_1,jaitetegur R_15))^2)</f>
        <v>0</v>
      </c>
      <c r="Q82" s="6">
        <f>SQRT((kaalutegur R_15*[1]!juhe(Q5,6)+jaitetegur R_15*[1]!Jaitekoormus_EN(Q$5,JaideJ_1,hJ_1))^2+(tuuletegur R_15*[1]!Tuulekoormus_en(Q$5,QJ_1,hJ_1,zo,Q$4,JaideJ_1,jaitetegur R_15))^2)</f>
        <v>0</v>
      </c>
      <c r="R82" s="6" t="e">
        <f>SQRT((kaalutegur R_15*[1]!juhe(R5,6)+jaitetegur R_15*[1]!Jaitekoormus_EN(R$5,JaideJ_1,hJ_1))^2+(tuuletegur R_15*[1]!Tuulekoormus_en(R$5,QJ_1,hJ_1,zo,R$4,JaideJ_1,jaitetegur R_15))^2)</f>
        <v>#VALUE!</v>
      </c>
      <c r="S82" s="6">
        <f>SQRT((kaalutegur R_15*[1]!juhe(S5,6)+jaitetegur R_15*[1]!Jaitekoormus_EN(S$5,JaideJ_1,hJ_1))^2+(tuuletegur R_15*[1]!Tuulekoormus_en(S$5,QJ_1,hJ_1,zo,S$4,JaideJ_1,jaitetegur R_15))^2)</f>
        <v>0</v>
      </c>
      <c r="T82" s="6">
        <f>SQRT((kaalutegur R_15*[1]!juhe(T5,6)+jaitetegur R_15*[1]!Jaitekoormus_EN(T$5,JaideJ_1,hJ_1))^2+(tuuletegur R_15*[1]!Tuulekoormus_en(T$5,QJ_1,hJ_1,zo,T$4,JaideJ_1,jaitetegur R_15))^2)</f>
        <v>0</v>
      </c>
    </row>
    <row r="83" spans="1:20" x14ac:dyDescent="0.2">
      <c r="A83" s="172"/>
      <c r="B83" s="173"/>
      <c r="C83" s="76" t="s">
        <v>104</v>
      </c>
      <c r="D83" s="3">
        <f>[1]!Olekuvorrand(D$4,D$5,D$6,5,D$9,Lähteandmed!$C66,D82)</f>
        <v>0</v>
      </c>
      <c r="E83" s="3">
        <f>[1]!Olekuvorrand(E$4,E$5,E$6,5,E$9,Lähteandmed!$C66,E82)</f>
        <v>0</v>
      </c>
      <c r="F83" s="3">
        <f>[1]!Olekuvorrand(F$4,F$5,F$6,5,F$9,Lähteandmed!$C66,F82)</f>
        <v>0</v>
      </c>
      <c r="G83" s="3">
        <f>[1]!Olekuvorrand(G$4,G$5,G$6,5,G$9,Lähteandmed!$C66,G82)</f>
        <v>0</v>
      </c>
      <c r="H83" s="3">
        <f>[1]!Olekuvorrand(H$4,H$5,H$6,5,H$9,Lähteandmed!$C66,H82)</f>
        <v>0</v>
      </c>
      <c r="I83" s="3">
        <f>[1]!Olekuvorrand(I$4,I$5,I$6,5,I$9,Lähteandmed!$C66,I82)</f>
        <v>0</v>
      </c>
      <c r="J83" s="3">
        <f>[1]!Olekuvorrand(J$4,J$5,J$6,5,J$9,Lähteandmed!$C66,J82)</f>
        <v>0</v>
      </c>
      <c r="K83" s="3">
        <f>[1]!Olekuvorrand(K$4,K$5,K$6,5,K$9,Lähteandmed!$C66,K82)</f>
        <v>0</v>
      </c>
      <c r="L83" s="3">
        <f>[1]!Olekuvorrand(L$4,L$5,L$6,5,L$9,Lähteandmed!$C66,L82)</f>
        <v>0</v>
      </c>
      <c r="M83" s="3">
        <f>[1]!Olekuvorrand(M$4,M$5,M$6,5,M$9,Lähteandmed!$C66,M82)</f>
        <v>0</v>
      </c>
      <c r="N83" s="3">
        <f>[1]!Olekuvorrand(N$4,N$5,N$6,5,N$9,Lähteandmed!$C66,N82)</f>
        <v>0</v>
      </c>
      <c r="O83" s="3">
        <f>[1]!Olekuvorrand(O$4,O$5,O$6,5,O$9,Lähteandmed!$C66,O82)</f>
        <v>0</v>
      </c>
      <c r="P83" s="3">
        <f>[1]!Olekuvorrand(P$4,P$5,P$6,5,P$9,Lähteandmed!$C66,P82)</f>
        <v>0</v>
      </c>
      <c r="Q83" s="3">
        <f>[1]!Olekuvorrand(Q$4,Q$5,Q$6,5,Q$9,Lähteandmed!$C66,Q82)</f>
        <v>0</v>
      </c>
      <c r="R83" s="3" t="e">
        <f>[1]!Olekuvorrand(R$4,R$5,R$6,5,R$9,Lähteandmed!$C66,R82)</f>
        <v>#VALUE!</v>
      </c>
      <c r="S83" s="3">
        <f>[1]!Olekuvorrand(S$4,S$5,S$6,5,S$9,Lähteandmed!$C66,S82)</f>
        <v>0</v>
      </c>
      <c r="T83" s="3">
        <f>[1]!Olekuvorrand(T$4,T$5,T$6,5,T$9,Lähteandmed!$C66,T82)</f>
        <v>0</v>
      </c>
    </row>
    <row r="84" spans="1:20" x14ac:dyDescent="0.2">
      <c r="A84" s="172"/>
      <c r="B84" s="173"/>
      <c r="C84" s="76" t="s">
        <v>105</v>
      </c>
      <c r="D84" s="3">
        <f>[1]!ripe(D83,D$9+Lähteandmed!$E66*D$11,D$4,0)</f>
        <v>0</v>
      </c>
      <c r="E84" s="3">
        <f>[1]!ripe(E83,E$9+Lähteandmed!$E66*E$11,E$4,0)</f>
        <v>0</v>
      </c>
      <c r="F84" s="3">
        <f>[1]!ripe(F83,F$9+Lähteandmed!$E66*F$11,F$4,0)</f>
        <v>0</v>
      </c>
      <c r="G84" s="3">
        <f>[1]!ripe(G83,G$9+Lähteandmed!$E66*G$11,G$4,0)</f>
        <v>0</v>
      </c>
      <c r="H84" s="3">
        <f>[1]!ripe(H83,H$9+Lähteandmed!$E66*H$11,H$4,0)</f>
        <v>0</v>
      </c>
      <c r="I84" s="3">
        <f>[1]!ripe(I83,I$9+Lähteandmed!$E66*I$11,I$4,0)</f>
        <v>0</v>
      </c>
      <c r="J84" s="3">
        <f>[1]!ripe(J83,J$9+Lähteandmed!$E66*J$11,J$4,0)</f>
        <v>0</v>
      </c>
      <c r="K84" s="3">
        <f>[1]!ripe(K83,K$9+Lähteandmed!$E66*K$11,K$4,0)</f>
        <v>0</v>
      </c>
      <c r="L84" s="3">
        <f>[1]!ripe(L83,L$9+Lähteandmed!$E66*L$11,L$4,0)</f>
        <v>0</v>
      </c>
      <c r="M84" s="3">
        <f>[1]!ripe(M83,M$9+Lähteandmed!$E66*M$11,M$4,0)</f>
        <v>0</v>
      </c>
      <c r="N84" s="3">
        <f>[1]!ripe(N83,N$9+Lähteandmed!$E66*N$11,N$4,0)</f>
        <v>0</v>
      </c>
      <c r="O84" s="3">
        <f>[1]!ripe(O83,O$9+Lähteandmed!$E66*O$11,O$4,0)</f>
        <v>0</v>
      </c>
      <c r="P84" s="3">
        <f>[1]!ripe(P83,P$9+Lähteandmed!$E66*P$11,P$4,0)</f>
        <v>0</v>
      </c>
      <c r="Q84" s="3">
        <f>[1]!ripe(Q83,Q$9+Lähteandmed!$E66*Q$11,Q$4,0)</f>
        <v>0</v>
      </c>
      <c r="R84" s="3" t="e">
        <f>[1]!ripe(R83,R$9+Lähteandmed!$E66*R$11,R$4,0)</f>
        <v>#VALUE!</v>
      </c>
      <c r="S84" s="3">
        <f>[1]!ripe(S83,S$9+Lähteandmed!$E66*S$11,S$4,0)</f>
        <v>0</v>
      </c>
      <c r="T84" s="3">
        <f>[1]!ripe(T83,T$9+Lähteandmed!$E66*T$11,T$4,0)</f>
        <v>0</v>
      </c>
    </row>
    <row r="85" spans="1:20" x14ac:dyDescent="0.2">
      <c r="A85" s="73"/>
      <c r="B85" s="173"/>
      <c r="C85" s="76" t="s">
        <v>49</v>
      </c>
      <c r="D85" s="50">
        <f t="shared" ref="D85:K85" si="56">D84/D$4^2*1000000</f>
        <v>0</v>
      </c>
      <c r="E85" s="50">
        <f t="shared" ref="E85:T85" si="57">E84/E$4^2*1000000</f>
        <v>0</v>
      </c>
      <c r="F85" s="50">
        <f t="shared" si="57"/>
        <v>0</v>
      </c>
      <c r="G85" s="50">
        <f t="shared" si="57"/>
        <v>0</v>
      </c>
      <c r="H85" s="50">
        <f t="shared" si="57"/>
        <v>0</v>
      </c>
      <c r="I85" s="50">
        <f t="shared" si="57"/>
        <v>0</v>
      </c>
      <c r="J85" s="50">
        <f t="shared" si="57"/>
        <v>0</v>
      </c>
      <c r="K85" s="50">
        <f t="shared" si="57"/>
        <v>0</v>
      </c>
      <c r="L85" s="50">
        <f t="shared" si="57"/>
        <v>0</v>
      </c>
      <c r="M85" s="50">
        <f t="shared" si="57"/>
        <v>0</v>
      </c>
      <c r="N85" s="50">
        <f t="shared" si="57"/>
        <v>0</v>
      </c>
      <c r="O85" s="50">
        <f t="shared" si="57"/>
        <v>0</v>
      </c>
      <c r="P85" s="50">
        <f t="shared" si="57"/>
        <v>0</v>
      </c>
      <c r="Q85" s="50">
        <f t="shared" si="57"/>
        <v>0</v>
      </c>
      <c r="R85" s="50" t="e">
        <f t="shared" si="57"/>
        <v>#VALUE!</v>
      </c>
      <c r="S85" s="50">
        <f t="shared" si="57"/>
        <v>0</v>
      </c>
      <c r="T85" s="50">
        <f t="shared" si="57"/>
        <v>0</v>
      </c>
    </row>
    <row r="86" spans="1:20" ht="38.25" x14ac:dyDescent="0.2">
      <c r="A86" s="159">
        <v>16</v>
      </c>
      <c r="B86" s="174">
        <f>Lähteandmed!B69</f>
        <v>0</v>
      </c>
      <c r="C86" s="77" t="s">
        <v>222</v>
      </c>
      <c r="D86" s="9">
        <f>SQRT((kaalutegur R_16*[1]!juhe(D5,6)+jaitetegur R_16*[1]!Jaitekoormus_EN(D$5,JaideJ_1,hJ_1))^2+(tuuletegur R_16*[1]!Tuulekoormus_en(D$5,QJ_1,hJ_1,zo,D$4,JaideJ_1,jaitetegur R_16))^2)</f>
        <v>0</v>
      </c>
      <c r="E86" s="9">
        <f>SQRT((kaalutegur R_16*[1]!juhe(E5,6)+jaitetegur R_16*[1]!Jaitekoormus_EN(E$5,JaideJ_1,hJ_1))^2+(tuuletegur R_16*[1]!Tuulekoormus_en(E$5,QJ_1,hJ_1,zo,E$4,JaideJ_1,jaitetegur R_16))^2)</f>
        <v>0</v>
      </c>
      <c r="F86" s="9">
        <f>SQRT((kaalutegur R_16*[1]!juhe(F5,6)+jaitetegur R_16*[1]!Jaitekoormus_EN(F$5,JaideJ_1,hJ_1))^2+(tuuletegur R_16*[1]!Tuulekoormus_en(F$5,QJ_1,hJ_1,zo,F$4,JaideJ_1,jaitetegur R_16))^2)</f>
        <v>0</v>
      </c>
      <c r="G86" s="9">
        <f>SQRT((kaalutegur R_16*[1]!juhe(G5,6)+jaitetegur R_16*[1]!Jaitekoormus_EN(G$5,JaideJ_1,hJ_1))^2+(tuuletegur R_16*[1]!Tuulekoormus_en(G$5,QJ_1,hJ_1,zo,G$4,JaideJ_1,jaitetegur R_16))^2)</f>
        <v>0</v>
      </c>
      <c r="H86" s="9">
        <f>SQRT((kaalutegur R_16*[1]!juhe(H5,6)+jaitetegur R_16*[1]!Jaitekoormus_EN(H$5,JaideJ_1,hJ_1))^2+(tuuletegur R_16*[1]!Tuulekoormus_en(H$5,QJ_1,hJ_1,zo,H$4,JaideJ_1,jaitetegur R_16))^2)</f>
        <v>0</v>
      </c>
      <c r="I86" s="9">
        <f>SQRT((kaalutegur R_16*[1]!juhe(I5,6)+jaitetegur R_16*[1]!Jaitekoormus_EN(I$5,JaideJ_1,hJ_1))^2+(tuuletegur R_16*[1]!Tuulekoormus_en(I$5,QJ_1,hJ_1,zo,I$4,JaideJ_1,jaitetegur R_16))^2)</f>
        <v>0</v>
      </c>
      <c r="J86" s="9">
        <f>SQRT((kaalutegur R_16*[1]!juhe(J5,6)+jaitetegur R_16*[1]!Jaitekoormus_EN(J$5,JaideJ_1,hJ_1))^2+(tuuletegur R_16*[1]!Tuulekoormus_en(J$5,QJ_1,hJ_1,zo,J$4,JaideJ_1,jaitetegur R_16))^2)</f>
        <v>0</v>
      </c>
      <c r="K86" s="9">
        <f>SQRT((kaalutegur R_16*[1]!juhe(K5,6)+jaitetegur R_16*[1]!Jaitekoormus_EN(K$5,JaideJ_1,hJ_1))^2+(tuuletegur R_16*[1]!Tuulekoormus_en(K$5,QJ_1,hJ_1,zo,K$4,JaideJ_1,jaitetegur R_16))^2)</f>
        <v>0</v>
      </c>
      <c r="L86" s="9">
        <f>SQRT((kaalutegur R_16*[1]!juhe(L5,6)+jaitetegur R_16*[1]!Jaitekoormus_EN(L$5,JaideJ_1,hJ_1))^2+(tuuletegur R_16*[1]!Tuulekoormus_en(L$5,QJ_1,hJ_1,zo,L$4,JaideJ_1,jaitetegur R_16))^2)</f>
        <v>0</v>
      </c>
      <c r="M86" s="9">
        <f>SQRT((kaalutegur R_16*[1]!juhe(M5,6)+jaitetegur R_16*[1]!Jaitekoormus_EN(M$5,JaideJ_1,hJ_1))^2+(tuuletegur R_16*[1]!Tuulekoormus_en(M$5,QJ_1,hJ_1,zo,M$4,JaideJ_1,jaitetegur R_16))^2)</f>
        <v>0</v>
      </c>
      <c r="N86" s="9">
        <f>SQRT((kaalutegur R_16*[1]!juhe(N5,6)+jaitetegur R_16*[1]!Jaitekoormus_EN(N$5,JaideJ_1,hJ_1))^2+(tuuletegur R_16*[1]!Tuulekoormus_en(N$5,QJ_1,hJ_1,zo,N$4,JaideJ_1,jaitetegur R_16))^2)</f>
        <v>0</v>
      </c>
      <c r="O86" s="9">
        <f>SQRT((kaalutegur R_16*[1]!juhe(O5,6)+jaitetegur R_16*[1]!Jaitekoormus_EN(O$5,JaideJ_1,hJ_1))^2+(tuuletegur R_16*[1]!Tuulekoormus_en(O$5,QJ_1,hJ_1,zo,O$4,JaideJ_1,jaitetegur R_16))^2)</f>
        <v>0</v>
      </c>
      <c r="P86" s="9">
        <f>SQRT((kaalutegur R_16*[1]!juhe(P5,6)+jaitetegur R_16*[1]!Jaitekoormus_EN(P$5,JaideJ_1,hJ_1))^2+(tuuletegur R_16*[1]!Tuulekoormus_en(P$5,QJ_1,hJ_1,zo,P$4,JaideJ_1,jaitetegur R_16))^2)</f>
        <v>0</v>
      </c>
      <c r="Q86" s="9">
        <f>SQRT((kaalutegur R_16*[1]!juhe(Q5,6)+jaitetegur R_16*[1]!Jaitekoormus_EN(Q$5,JaideJ_1,hJ_1))^2+(tuuletegur R_16*[1]!Tuulekoormus_en(Q$5,QJ_1,hJ_1,zo,Q$4,JaideJ_1,jaitetegur R_16))^2)</f>
        <v>0</v>
      </c>
      <c r="R86" s="9" t="e">
        <f>SQRT((kaalutegur R_16*[1]!juhe(R5,6)+jaitetegur R_16*[1]!Jaitekoormus_EN(R$5,JaideJ_1,hJ_1))^2+(tuuletegur R_16*[1]!Tuulekoormus_en(R$5,QJ_1,hJ_1,zo,R$4,JaideJ_1,jaitetegur R_16))^2)</f>
        <v>#VALUE!</v>
      </c>
      <c r="S86" s="9">
        <f>SQRT((kaalutegur R_16*[1]!juhe(S5,6)+jaitetegur R_16*[1]!Jaitekoormus_EN(S$5,JaideJ_1,hJ_1))^2+(tuuletegur R_16*[1]!Tuulekoormus_en(S$5,QJ_1,hJ_1,zo,S$4,JaideJ_1,jaitetegur R_16))^2)</f>
        <v>0</v>
      </c>
      <c r="T86" s="9">
        <f>SQRT((kaalutegur R_16*[1]!juhe(T5,6)+jaitetegur R_16*[1]!Jaitekoormus_EN(T$5,JaideJ_1,hJ_1))^2+(tuuletegur R_16*[1]!Tuulekoormus_en(T$5,QJ_1,hJ_1,zo,T$4,JaideJ_1,jaitetegur R_16))^2)</f>
        <v>0</v>
      </c>
    </row>
    <row r="87" spans="1:20" x14ac:dyDescent="0.2">
      <c r="A87" s="159"/>
      <c r="B87" s="174"/>
      <c r="C87" s="77" t="s">
        <v>104</v>
      </c>
      <c r="D87" s="22">
        <f>[1]!Olekuvorrand(D$4,D$5,D$6,5,D$9,Lähteandmed!$C69,D86)</f>
        <v>0</v>
      </c>
      <c r="E87" s="22">
        <f>[1]!Olekuvorrand(E$4,E$5,E$6,5,E$9,Lähteandmed!$C69,E86)</f>
        <v>0</v>
      </c>
      <c r="F87" s="22">
        <f>[1]!Olekuvorrand(F$4,F$5,F$6,5,F$9,Lähteandmed!$C69,F86)</f>
        <v>0</v>
      </c>
      <c r="G87" s="22">
        <f>[1]!Olekuvorrand(G$4,G$5,G$6,5,G$9,Lähteandmed!$C69,G86)</f>
        <v>0</v>
      </c>
      <c r="H87" s="22">
        <f>[1]!Olekuvorrand(H$4,H$5,H$6,5,H$9,Lähteandmed!$C69,H86)</f>
        <v>0</v>
      </c>
      <c r="I87" s="22">
        <f>[1]!Olekuvorrand(I$4,I$5,I$6,5,I$9,Lähteandmed!$C69,I86)</f>
        <v>0</v>
      </c>
      <c r="J87" s="22">
        <f>[1]!Olekuvorrand(J$4,J$5,J$6,5,J$9,Lähteandmed!$C69,J86)</f>
        <v>0</v>
      </c>
      <c r="K87" s="22">
        <f>[1]!Olekuvorrand(K$4,K$5,K$6,5,K$9,Lähteandmed!$C69,K86)</f>
        <v>0</v>
      </c>
      <c r="L87" s="22">
        <f>[1]!Olekuvorrand(L$4,L$5,L$6,5,L$9,Lähteandmed!$C69,L86)</f>
        <v>0</v>
      </c>
      <c r="M87" s="22">
        <f>[1]!Olekuvorrand(M$4,M$5,M$6,5,M$9,Lähteandmed!$C69,M86)</f>
        <v>0</v>
      </c>
      <c r="N87" s="22">
        <f>[1]!Olekuvorrand(N$4,N$5,N$6,5,N$9,Lähteandmed!$C69,N86)</f>
        <v>0</v>
      </c>
      <c r="O87" s="22">
        <f>[1]!Olekuvorrand(O$4,O$5,O$6,5,O$9,Lähteandmed!$C69,O86)</f>
        <v>0</v>
      </c>
      <c r="P87" s="22">
        <f>[1]!Olekuvorrand(P$4,P$5,P$6,5,P$9,Lähteandmed!$C69,P86)</f>
        <v>0</v>
      </c>
      <c r="Q87" s="22">
        <f>[1]!Olekuvorrand(Q$4,Q$5,Q$6,5,Q$9,Lähteandmed!$C69,Q86)</f>
        <v>0</v>
      </c>
      <c r="R87" s="22" t="e">
        <f>[1]!Olekuvorrand(R$4,R$5,R$6,5,R$9,Lähteandmed!$C69,R86)</f>
        <v>#VALUE!</v>
      </c>
      <c r="S87" s="22">
        <f>[1]!Olekuvorrand(S$4,S$5,S$6,5,S$9,Lähteandmed!$C69,S86)</f>
        <v>0</v>
      </c>
      <c r="T87" s="22">
        <f>[1]!Olekuvorrand(T$4,T$5,T$6,5,T$9,Lähteandmed!$C69,T86)</f>
        <v>0</v>
      </c>
    </row>
    <row r="88" spans="1:20" x14ac:dyDescent="0.2">
      <c r="A88" s="159"/>
      <c r="B88" s="174"/>
      <c r="C88" s="77" t="s">
        <v>105</v>
      </c>
      <c r="D88" s="9">
        <f>[1]!ripe(D87,D$9+Lähteandmed!$E69*D$11,D$4,0)</f>
        <v>0</v>
      </c>
      <c r="E88" s="9">
        <f>[1]!ripe(E87,E$9+Lähteandmed!$E69*E$11,E$4,0)</f>
        <v>0</v>
      </c>
      <c r="F88" s="9">
        <f>[1]!ripe(F87,F$9+Lähteandmed!$E69*F$11,F$4,0)</f>
        <v>0</v>
      </c>
      <c r="G88" s="9">
        <f>[1]!ripe(G87,G$9+Lähteandmed!$E69*G$11,G$4,0)</f>
        <v>0</v>
      </c>
      <c r="H88" s="9">
        <f>[1]!ripe(H87,H$9+Lähteandmed!$E69*H$11,H$4,0)</f>
        <v>0</v>
      </c>
      <c r="I88" s="9">
        <f>[1]!ripe(I87,I$9+Lähteandmed!$E69*I$11,I$4,0)</f>
        <v>0</v>
      </c>
      <c r="J88" s="9">
        <f>[1]!ripe(J87,J$9+Lähteandmed!$E69*J$11,J$4,0)</f>
        <v>0</v>
      </c>
      <c r="K88" s="9">
        <f>[1]!ripe(K87,K$9+Lähteandmed!$E69*K$11,K$4,0)</f>
        <v>0</v>
      </c>
      <c r="L88" s="9">
        <f>[1]!ripe(L87,L$9+Lähteandmed!$E69*L$11,L$4,0)</f>
        <v>0</v>
      </c>
      <c r="M88" s="9">
        <f>[1]!ripe(M87,M$9+Lähteandmed!$E69*M$11,M$4,0)</f>
        <v>0</v>
      </c>
      <c r="N88" s="9">
        <f>[1]!ripe(N87,N$9+Lähteandmed!$E69*N$11,N$4,0)</f>
        <v>0</v>
      </c>
      <c r="O88" s="9">
        <f>[1]!ripe(O87,O$9+Lähteandmed!$E69*O$11,O$4,0)</f>
        <v>0</v>
      </c>
      <c r="P88" s="9">
        <f>[1]!ripe(P87,P$9+Lähteandmed!$E69*P$11,P$4,0)</f>
        <v>0</v>
      </c>
      <c r="Q88" s="9">
        <f>[1]!ripe(Q87,Q$9+Lähteandmed!$E69*Q$11,Q$4,0)</f>
        <v>0</v>
      </c>
      <c r="R88" s="9" t="e">
        <f>[1]!ripe(R87,R$9+Lähteandmed!$E69*R$11,R$4,0)</f>
        <v>#VALUE!</v>
      </c>
      <c r="S88" s="9">
        <f>[1]!ripe(S87,S$9+Lähteandmed!$E69*S$11,S$4,0)</f>
        <v>0</v>
      </c>
      <c r="T88" s="9">
        <f>[1]!ripe(T87,T$9+Lähteandmed!$E69*T$11,T$4,0)</f>
        <v>0</v>
      </c>
    </row>
    <row r="89" spans="1:20" x14ac:dyDescent="0.2">
      <c r="A89" s="72"/>
      <c r="B89" s="174"/>
      <c r="C89" s="77" t="s">
        <v>49</v>
      </c>
      <c r="D89" s="51">
        <f t="shared" ref="D89:K89" si="58">D88/D$4^2*1000000</f>
        <v>0</v>
      </c>
      <c r="E89" s="51">
        <f t="shared" ref="E89:T89" si="59">E88/E$4^2*1000000</f>
        <v>0</v>
      </c>
      <c r="F89" s="51">
        <f t="shared" si="59"/>
        <v>0</v>
      </c>
      <c r="G89" s="51">
        <f t="shared" si="59"/>
        <v>0</v>
      </c>
      <c r="H89" s="51">
        <f t="shared" si="59"/>
        <v>0</v>
      </c>
      <c r="I89" s="51">
        <f t="shared" si="59"/>
        <v>0</v>
      </c>
      <c r="J89" s="51">
        <f t="shared" si="59"/>
        <v>0</v>
      </c>
      <c r="K89" s="51">
        <f t="shared" si="59"/>
        <v>0</v>
      </c>
      <c r="L89" s="51">
        <f t="shared" si="59"/>
        <v>0</v>
      </c>
      <c r="M89" s="51">
        <f t="shared" si="59"/>
        <v>0</v>
      </c>
      <c r="N89" s="51">
        <f t="shared" si="59"/>
        <v>0</v>
      </c>
      <c r="O89" s="51">
        <f t="shared" si="59"/>
        <v>0</v>
      </c>
      <c r="P89" s="51">
        <f t="shared" si="59"/>
        <v>0</v>
      </c>
      <c r="Q89" s="51">
        <f t="shared" si="59"/>
        <v>0</v>
      </c>
      <c r="R89" s="51" t="e">
        <f t="shared" si="59"/>
        <v>#VALUE!</v>
      </c>
      <c r="S89" s="51">
        <f t="shared" si="59"/>
        <v>0</v>
      </c>
      <c r="T89" s="51">
        <f t="shared" si="59"/>
        <v>0</v>
      </c>
    </row>
    <row r="90" spans="1:20" ht="38.25" x14ac:dyDescent="0.2">
      <c r="A90" s="172">
        <v>17</v>
      </c>
      <c r="B90" s="173">
        <f>Lähteandmed!B72</f>
        <v>0</v>
      </c>
      <c r="C90" s="76" t="s">
        <v>222</v>
      </c>
      <c r="D90" s="6">
        <f>SQRT((kaalutegur R_17*[1]!juhe(D5,6)+jaitetegur R_17*[1]!Jaitekoormus_EN(D$5,JaideJ_1,hJ_1))^2+(tuuletegur R_17*[1]!Tuulekoormus_en(D$5,QJ_1,hJ_1,zo,D$4,JaideJ_1,jaitetegur R_17))^2)</f>
        <v>0</v>
      </c>
      <c r="E90" s="6">
        <f>SQRT((kaalutegur R_17*[1]!juhe(E5,6)+jaitetegur R_17*[1]!Jaitekoormus_EN(E$5,JaideJ_1,hJ_1))^2+(tuuletegur R_17*[1]!Tuulekoormus_en(E$5,QJ_1,hJ_1,zo,E$4,JaideJ_1,jaitetegur R_17))^2)</f>
        <v>0</v>
      </c>
      <c r="F90" s="6">
        <f>SQRT((kaalutegur R_17*[1]!juhe(F5,6)+jaitetegur R_17*[1]!Jaitekoormus_EN(F$5,JaideJ_1,hJ_1))^2+(tuuletegur R_17*[1]!Tuulekoormus_en(F$5,QJ_1,hJ_1,zo,F$4,JaideJ_1,jaitetegur R_17))^2)</f>
        <v>0</v>
      </c>
      <c r="G90" s="6">
        <f>SQRT((kaalutegur R_17*[1]!juhe(G5,6)+jaitetegur R_17*[1]!Jaitekoormus_EN(G$5,JaideJ_1,hJ_1))^2+(tuuletegur R_17*[1]!Tuulekoormus_en(G$5,QJ_1,hJ_1,zo,G$4,JaideJ_1,jaitetegur R_17))^2)</f>
        <v>0</v>
      </c>
      <c r="H90" s="6">
        <f>SQRT((kaalutegur R_17*[1]!juhe(H5,6)+jaitetegur R_17*[1]!Jaitekoormus_EN(H$5,JaideJ_1,hJ_1))^2+(tuuletegur R_17*[1]!Tuulekoormus_en(H$5,QJ_1,hJ_1,zo,H$4,JaideJ_1,jaitetegur R_17))^2)</f>
        <v>0</v>
      </c>
      <c r="I90" s="6">
        <f>SQRT((kaalutegur R_17*[1]!juhe(I5,6)+jaitetegur R_17*[1]!Jaitekoormus_EN(I$5,JaideJ_1,hJ_1))^2+(tuuletegur R_17*[1]!Tuulekoormus_en(I$5,QJ_1,hJ_1,zo,I$4,JaideJ_1,jaitetegur R_17))^2)</f>
        <v>0</v>
      </c>
      <c r="J90" s="6">
        <f>SQRT((kaalutegur R_17*[1]!juhe(J5,6)+jaitetegur R_17*[1]!Jaitekoormus_EN(J$5,JaideJ_1,hJ_1))^2+(tuuletegur R_17*[1]!Tuulekoormus_en(J$5,QJ_1,hJ_1,zo,J$4,JaideJ_1,jaitetegur R_17))^2)</f>
        <v>0</v>
      </c>
      <c r="K90" s="6">
        <f>SQRT((kaalutegur R_17*[1]!juhe(K5,6)+jaitetegur R_17*[1]!Jaitekoormus_EN(K$5,JaideJ_1,hJ_1))^2+(tuuletegur R_17*[1]!Tuulekoormus_en(K$5,QJ_1,hJ_1,zo,K$4,JaideJ_1,jaitetegur R_17))^2)</f>
        <v>0</v>
      </c>
      <c r="L90" s="6">
        <f>SQRT((kaalutegur R_17*[1]!juhe(L5,6)+jaitetegur R_17*[1]!Jaitekoormus_EN(L$5,JaideJ_1,hJ_1))^2+(tuuletegur R_17*[1]!Tuulekoormus_en(L$5,QJ_1,hJ_1,zo,L$4,JaideJ_1,jaitetegur R_17))^2)</f>
        <v>0</v>
      </c>
      <c r="M90" s="6">
        <f>SQRT((kaalutegur R_17*[1]!juhe(M5,6)+jaitetegur R_17*[1]!Jaitekoormus_EN(M$5,JaideJ_1,hJ_1))^2+(tuuletegur R_17*[1]!Tuulekoormus_en(M$5,QJ_1,hJ_1,zo,M$4,JaideJ_1,jaitetegur R_17))^2)</f>
        <v>0</v>
      </c>
      <c r="N90" s="6">
        <f>SQRT((kaalutegur R_17*[1]!juhe(N5,6)+jaitetegur R_17*[1]!Jaitekoormus_EN(N$5,JaideJ_1,hJ_1))^2+(tuuletegur R_17*[1]!Tuulekoormus_en(N$5,QJ_1,hJ_1,zo,N$4,JaideJ_1,jaitetegur R_17))^2)</f>
        <v>0</v>
      </c>
      <c r="O90" s="6">
        <f>SQRT((kaalutegur R_17*[1]!juhe(O5,6)+jaitetegur R_17*[1]!Jaitekoormus_EN(O$5,JaideJ_1,hJ_1))^2+(tuuletegur R_17*[1]!Tuulekoormus_en(O$5,QJ_1,hJ_1,zo,O$4,JaideJ_1,jaitetegur R_17))^2)</f>
        <v>0</v>
      </c>
      <c r="P90" s="6">
        <f>SQRT((kaalutegur R_17*[1]!juhe(P5,6)+jaitetegur R_17*[1]!Jaitekoormus_EN(P$5,JaideJ_1,hJ_1))^2+(tuuletegur R_17*[1]!Tuulekoormus_en(P$5,QJ_1,hJ_1,zo,P$4,JaideJ_1,jaitetegur R_17))^2)</f>
        <v>0</v>
      </c>
      <c r="Q90" s="6">
        <f>SQRT((kaalutegur R_17*[1]!juhe(Q5,6)+jaitetegur R_17*[1]!Jaitekoormus_EN(Q$5,JaideJ_1,hJ_1))^2+(tuuletegur R_17*[1]!Tuulekoormus_en(Q$5,QJ_1,hJ_1,zo,Q$4,JaideJ_1,jaitetegur R_17))^2)</f>
        <v>0</v>
      </c>
      <c r="R90" s="6" t="e">
        <f>SQRT((kaalutegur R_17*[1]!juhe(R5,6)+jaitetegur R_17*[1]!Jaitekoormus_EN(R$5,JaideJ_1,hJ_1))^2+(tuuletegur R_17*[1]!Tuulekoormus_en(R$5,QJ_1,hJ_1,zo,R$4,JaideJ_1,jaitetegur R_17))^2)</f>
        <v>#VALUE!</v>
      </c>
      <c r="S90" s="6">
        <f>SQRT((kaalutegur R_17*[1]!juhe(S5,6)+jaitetegur R_17*[1]!Jaitekoormus_EN(S$5,JaideJ_1,hJ_1))^2+(tuuletegur R_17*[1]!Tuulekoormus_en(S$5,QJ_1,hJ_1,zo,S$4,JaideJ_1,jaitetegur R_17))^2)</f>
        <v>0</v>
      </c>
      <c r="T90" s="6">
        <f>SQRT((kaalutegur R_17*[1]!juhe(T5,6)+jaitetegur R_17*[1]!Jaitekoormus_EN(T$5,JaideJ_1,hJ_1))^2+(tuuletegur R_17*[1]!Tuulekoormus_en(T$5,QJ_1,hJ_1,zo,T$4,JaideJ_1,jaitetegur R_17))^2)</f>
        <v>0</v>
      </c>
    </row>
    <row r="91" spans="1:20" x14ac:dyDescent="0.2">
      <c r="A91" s="172"/>
      <c r="B91" s="173"/>
      <c r="C91" s="76" t="s">
        <v>104</v>
      </c>
      <c r="D91" s="3">
        <f>[1]!Olekuvorrand(D$4,D$5,D$6,5,D$9,Lähteandmed!$C72,D90)</f>
        <v>0</v>
      </c>
      <c r="E91" s="3">
        <f>[1]!Olekuvorrand(E$4,E$5,E$6,5,E$9,Lähteandmed!$C72,E90)</f>
        <v>0</v>
      </c>
      <c r="F91" s="3">
        <f>[1]!Olekuvorrand(F$4,F$5,F$6,5,F$9,Lähteandmed!$C72,F90)</f>
        <v>0</v>
      </c>
      <c r="G91" s="3">
        <f>[1]!Olekuvorrand(G$4,G$5,G$6,5,G$9,Lähteandmed!$C72,G90)</f>
        <v>0</v>
      </c>
      <c r="H91" s="3">
        <f>[1]!Olekuvorrand(H$4,H$5,H$6,5,H$9,Lähteandmed!$C72,H90)</f>
        <v>0</v>
      </c>
      <c r="I91" s="3">
        <f>[1]!Olekuvorrand(I$4,I$5,I$6,5,I$9,Lähteandmed!$C72,I90)</f>
        <v>0</v>
      </c>
      <c r="J91" s="3">
        <f>[1]!Olekuvorrand(J$4,J$5,J$6,5,J$9,Lähteandmed!$C72,J90)</f>
        <v>0</v>
      </c>
      <c r="K91" s="3">
        <f>[1]!Olekuvorrand(K$4,K$5,K$6,5,K$9,Lähteandmed!$C72,K90)</f>
        <v>0</v>
      </c>
      <c r="L91" s="3">
        <f>[1]!Olekuvorrand(L$4,L$5,L$6,5,L$9,Lähteandmed!$C72,L90)</f>
        <v>0</v>
      </c>
      <c r="M91" s="3">
        <f>[1]!Olekuvorrand(M$4,M$5,M$6,5,M$9,Lähteandmed!$C72,M90)</f>
        <v>0</v>
      </c>
      <c r="N91" s="3">
        <f>[1]!Olekuvorrand(N$4,N$5,N$6,5,N$9,Lähteandmed!$C72,N90)</f>
        <v>0</v>
      </c>
      <c r="O91" s="3">
        <f>[1]!Olekuvorrand(O$4,O$5,O$6,5,O$9,Lähteandmed!$C72,O90)</f>
        <v>0</v>
      </c>
      <c r="P91" s="3">
        <f>[1]!Olekuvorrand(P$4,P$5,P$6,5,P$9,Lähteandmed!$C72,P90)</f>
        <v>0</v>
      </c>
      <c r="Q91" s="3">
        <f>[1]!Olekuvorrand(Q$4,Q$5,Q$6,5,Q$9,Lähteandmed!$C72,Q90)</f>
        <v>0</v>
      </c>
      <c r="R91" s="3" t="e">
        <f>[1]!Olekuvorrand(R$4,R$5,R$6,5,R$9,Lähteandmed!$C72,R90)</f>
        <v>#VALUE!</v>
      </c>
      <c r="S91" s="3">
        <f>[1]!Olekuvorrand(S$4,S$5,S$6,5,S$9,Lähteandmed!$C72,S90)</f>
        <v>0</v>
      </c>
      <c r="T91" s="3">
        <f>[1]!Olekuvorrand(T$4,T$5,T$6,5,T$9,Lähteandmed!$C72,T90)</f>
        <v>0</v>
      </c>
    </row>
    <row r="92" spans="1:20" x14ac:dyDescent="0.2">
      <c r="A92" s="172"/>
      <c r="B92" s="173"/>
      <c r="C92" s="76" t="s">
        <v>105</v>
      </c>
      <c r="D92" s="3">
        <f>[1]!ripe(D91,D$9+Lähteandmed!$E72*D$11,D$4,0)</f>
        <v>0</v>
      </c>
      <c r="E92" s="3">
        <f>[1]!ripe(E91,E$9+Lähteandmed!$E72*E$11,E$4,0)</f>
        <v>0</v>
      </c>
      <c r="F92" s="3">
        <f>[1]!ripe(F91,F$9+Lähteandmed!$E72*F$11,F$4,0)</f>
        <v>0</v>
      </c>
      <c r="G92" s="3">
        <f>[1]!ripe(G91,G$9+Lähteandmed!$E72*G$11,G$4,0)</f>
        <v>0</v>
      </c>
      <c r="H92" s="3">
        <f>[1]!ripe(H91,H$9+Lähteandmed!$E72*H$11,H$4,0)</f>
        <v>0</v>
      </c>
      <c r="I92" s="3">
        <f>[1]!ripe(I91,I$9+Lähteandmed!$E72*I$11,I$4,0)</f>
        <v>0</v>
      </c>
      <c r="J92" s="3">
        <f>[1]!ripe(J91,J$9+Lähteandmed!$E72*J$11,J$4,0)</f>
        <v>0</v>
      </c>
      <c r="K92" s="3">
        <f>[1]!ripe(K91,K$9+Lähteandmed!$E72*K$11,K$4,0)</f>
        <v>0</v>
      </c>
      <c r="L92" s="3">
        <f>[1]!ripe(L91,L$9+Lähteandmed!$E72*L$11,L$4,0)</f>
        <v>0</v>
      </c>
      <c r="M92" s="3">
        <f>[1]!ripe(M91,M$9+Lähteandmed!$E72*M$11,M$4,0)</f>
        <v>0</v>
      </c>
      <c r="N92" s="3">
        <f>[1]!ripe(N91,N$9+Lähteandmed!$E72*N$11,N$4,0)</f>
        <v>0</v>
      </c>
      <c r="O92" s="3">
        <f>[1]!ripe(O91,O$9+Lähteandmed!$E72*O$11,O$4,0)</f>
        <v>0</v>
      </c>
      <c r="P92" s="3">
        <f>[1]!ripe(P91,P$9+Lähteandmed!$E72*P$11,P$4,0)</f>
        <v>0</v>
      </c>
      <c r="Q92" s="3">
        <f>[1]!ripe(Q91,Q$9+Lähteandmed!$E72*Q$11,Q$4,0)</f>
        <v>0</v>
      </c>
      <c r="R92" s="3" t="e">
        <f>[1]!ripe(R91,R$9+Lähteandmed!$E72*R$11,R$4,0)</f>
        <v>#VALUE!</v>
      </c>
      <c r="S92" s="3">
        <f>[1]!ripe(S91,S$9+Lähteandmed!$E72*S$11,S$4,0)</f>
        <v>0</v>
      </c>
      <c r="T92" s="3">
        <f>[1]!ripe(T91,T$9+Lähteandmed!$E72*T$11,T$4,0)</f>
        <v>0</v>
      </c>
    </row>
    <row r="93" spans="1:20" x14ac:dyDescent="0.2">
      <c r="A93" s="73"/>
      <c r="B93" s="173"/>
      <c r="C93" s="76" t="s">
        <v>49</v>
      </c>
      <c r="D93" s="50">
        <f t="shared" ref="D93:K93" si="60">D92/D$4^2*1000000</f>
        <v>0</v>
      </c>
      <c r="E93" s="50">
        <f t="shared" ref="E93:T93" si="61">E92/E$4^2*1000000</f>
        <v>0</v>
      </c>
      <c r="F93" s="50">
        <f t="shared" si="61"/>
        <v>0</v>
      </c>
      <c r="G93" s="50">
        <f t="shared" si="61"/>
        <v>0</v>
      </c>
      <c r="H93" s="50">
        <f t="shared" si="61"/>
        <v>0</v>
      </c>
      <c r="I93" s="50">
        <f t="shared" si="61"/>
        <v>0</v>
      </c>
      <c r="J93" s="50">
        <f t="shared" si="61"/>
        <v>0</v>
      </c>
      <c r="K93" s="50">
        <f t="shared" si="61"/>
        <v>0</v>
      </c>
      <c r="L93" s="50">
        <f t="shared" si="61"/>
        <v>0</v>
      </c>
      <c r="M93" s="50">
        <f t="shared" si="61"/>
        <v>0</v>
      </c>
      <c r="N93" s="50">
        <f t="shared" si="61"/>
        <v>0</v>
      </c>
      <c r="O93" s="50">
        <f t="shared" si="61"/>
        <v>0</v>
      </c>
      <c r="P93" s="50">
        <f t="shared" si="61"/>
        <v>0</v>
      </c>
      <c r="Q93" s="50">
        <f t="shared" si="61"/>
        <v>0</v>
      </c>
      <c r="R93" s="50" t="e">
        <f t="shared" si="61"/>
        <v>#VALUE!</v>
      </c>
      <c r="S93" s="50">
        <f t="shared" si="61"/>
        <v>0</v>
      </c>
      <c r="T93" s="50">
        <f t="shared" si="61"/>
        <v>0</v>
      </c>
    </row>
    <row r="94" spans="1:20" ht="38.25" x14ac:dyDescent="0.2">
      <c r="A94" s="159">
        <v>18</v>
      </c>
      <c r="B94" s="174">
        <f>Lähteandmed!B75</f>
        <v>0</v>
      </c>
      <c r="C94" s="77" t="s">
        <v>222</v>
      </c>
      <c r="D94" s="9">
        <f>SQRT((kaalutegur R_18*[1]!juhe(D5,6)+jaitetegur R_18*[1]!Jaitekoormus_EN(D$5,JaideJ_1,hJ_1))^2+(tuuletegur R_18*[1]!Tuulekoormus_en(D$5,QJ_1,hJ_1,zo,D$4,JaideJ_1,jaitetegur R_18))^2)</f>
        <v>0</v>
      </c>
      <c r="E94" s="9">
        <f>SQRT((kaalutegur R_18*[1]!juhe(E5,6)+jaitetegur R_18*[1]!Jaitekoormus_EN(E$5,JaideJ_1,hJ_1))^2+(tuuletegur R_18*[1]!Tuulekoormus_en(E$5,QJ_1,hJ_1,zo,E$4,JaideJ_1,jaitetegur R_18))^2)</f>
        <v>0</v>
      </c>
      <c r="F94" s="9">
        <f>SQRT((kaalutegur R_18*[1]!juhe(F5,6)+jaitetegur R_18*[1]!Jaitekoormus_EN(F$5,JaideJ_1,hJ_1))^2+(tuuletegur R_18*[1]!Tuulekoormus_en(F$5,QJ_1,hJ_1,zo,F$4,JaideJ_1,jaitetegur R_18))^2)</f>
        <v>0</v>
      </c>
      <c r="G94" s="9">
        <f>SQRT((kaalutegur R_18*[1]!juhe(G5,6)+jaitetegur R_18*[1]!Jaitekoormus_EN(G$5,JaideJ_1,hJ_1))^2+(tuuletegur R_18*[1]!Tuulekoormus_en(G$5,QJ_1,hJ_1,zo,G$4,JaideJ_1,jaitetegur R_18))^2)</f>
        <v>0</v>
      </c>
      <c r="H94" s="9">
        <f>SQRT((kaalutegur R_18*[1]!juhe(H5,6)+jaitetegur R_18*[1]!Jaitekoormus_EN(H$5,JaideJ_1,hJ_1))^2+(tuuletegur R_18*[1]!Tuulekoormus_en(H$5,QJ_1,hJ_1,zo,H$4,JaideJ_1,jaitetegur R_18))^2)</f>
        <v>0</v>
      </c>
      <c r="I94" s="9">
        <f>SQRT((kaalutegur R_18*[1]!juhe(I5,6)+jaitetegur R_18*[1]!Jaitekoormus_EN(I$5,JaideJ_1,hJ_1))^2+(tuuletegur R_18*[1]!Tuulekoormus_en(I$5,QJ_1,hJ_1,zo,I$4,JaideJ_1,jaitetegur R_18))^2)</f>
        <v>0</v>
      </c>
      <c r="J94" s="9">
        <f>SQRT((kaalutegur R_18*[1]!juhe(J5,6)+jaitetegur R_18*[1]!Jaitekoormus_EN(J$5,JaideJ_1,hJ_1))^2+(tuuletegur R_18*[1]!Tuulekoormus_en(J$5,QJ_1,hJ_1,zo,J$4,JaideJ_1,jaitetegur R_18))^2)</f>
        <v>0</v>
      </c>
      <c r="K94" s="9">
        <f>SQRT((kaalutegur R_18*[1]!juhe(K5,6)+jaitetegur R_18*[1]!Jaitekoormus_EN(K$5,JaideJ_1,hJ_1))^2+(tuuletegur R_18*[1]!Tuulekoormus_en(K$5,QJ_1,hJ_1,zo,K$4,JaideJ_1,jaitetegur R_18))^2)</f>
        <v>0</v>
      </c>
      <c r="L94" s="9">
        <f>SQRT((kaalutegur R_18*[1]!juhe(L5,6)+jaitetegur R_18*[1]!Jaitekoormus_EN(L$5,JaideJ_1,hJ_1))^2+(tuuletegur R_18*[1]!Tuulekoormus_en(L$5,QJ_1,hJ_1,zo,L$4,JaideJ_1,jaitetegur R_18))^2)</f>
        <v>0</v>
      </c>
      <c r="M94" s="9">
        <f>SQRT((kaalutegur R_18*[1]!juhe(M5,6)+jaitetegur R_18*[1]!Jaitekoormus_EN(M$5,JaideJ_1,hJ_1))^2+(tuuletegur R_18*[1]!Tuulekoormus_en(M$5,QJ_1,hJ_1,zo,M$4,JaideJ_1,jaitetegur R_18))^2)</f>
        <v>0</v>
      </c>
      <c r="N94" s="9">
        <f>SQRT((kaalutegur R_18*[1]!juhe(N5,6)+jaitetegur R_18*[1]!Jaitekoormus_EN(N$5,JaideJ_1,hJ_1))^2+(tuuletegur R_18*[1]!Tuulekoormus_en(N$5,QJ_1,hJ_1,zo,N$4,JaideJ_1,jaitetegur R_18))^2)</f>
        <v>0</v>
      </c>
      <c r="O94" s="9">
        <f>SQRT((kaalutegur R_18*[1]!juhe(O5,6)+jaitetegur R_18*[1]!Jaitekoormus_EN(O$5,JaideJ_1,hJ_1))^2+(tuuletegur R_18*[1]!Tuulekoormus_en(O$5,QJ_1,hJ_1,zo,O$4,JaideJ_1,jaitetegur R_18))^2)</f>
        <v>0</v>
      </c>
      <c r="P94" s="9">
        <f>SQRT((kaalutegur R_18*[1]!juhe(P5,6)+jaitetegur R_18*[1]!Jaitekoormus_EN(P$5,JaideJ_1,hJ_1))^2+(tuuletegur R_18*[1]!Tuulekoormus_en(P$5,QJ_1,hJ_1,zo,P$4,JaideJ_1,jaitetegur R_18))^2)</f>
        <v>0</v>
      </c>
      <c r="Q94" s="9">
        <f>SQRT((kaalutegur R_18*[1]!juhe(Q5,6)+jaitetegur R_18*[1]!Jaitekoormus_EN(Q$5,JaideJ_1,hJ_1))^2+(tuuletegur R_18*[1]!Tuulekoormus_en(Q$5,QJ_1,hJ_1,zo,Q$4,JaideJ_1,jaitetegur R_18))^2)</f>
        <v>0</v>
      </c>
      <c r="R94" s="9" t="e">
        <f>SQRT((kaalutegur R_18*[1]!juhe(R5,6)+jaitetegur R_18*[1]!Jaitekoormus_EN(R$5,JaideJ_1,hJ_1))^2+(tuuletegur R_18*[1]!Tuulekoormus_en(R$5,QJ_1,hJ_1,zo,R$4,JaideJ_1,jaitetegur R_18))^2)</f>
        <v>#VALUE!</v>
      </c>
      <c r="S94" s="9">
        <f>SQRT((kaalutegur R_18*[1]!juhe(S5,6)+jaitetegur R_18*[1]!Jaitekoormus_EN(S$5,JaideJ_1,hJ_1))^2+(tuuletegur R_18*[1]!Tuulekoormus_en(S$5,QJ_1,hJ_1,zo,S$4,JaideJ_1,jaitetegur R_18))^2)</f>
        <v>0</v>
      </c>
      <c r="T94" s="9">
        <f>SQRT((kaalutegur R_18*[1]!juhe(T5,6)+jaitetegur R_18*[1]!Jaitekoormus_EN(T$5,JaideJ_1,hJ_1))^2+(tuuletegur R_18*[1]!Tuulekoormus_en(T$5,QJ_1,hJ_1,zo,T$4,JaideJ_1,jaitetegur R_18))^2)</f>
        <v>0</v>
      </c>
    </row>
    <row r="95" spans="1:20" x14ac:dyDescent="0.2">
      <c r="A95" s="159"/>
      <c r="B95" s="174"/>
      <c r="C95" s="77" t="s">
        <v>104</v>
      </c>
      <c r="D95" s="22">
        <f>[1]!Olekuvorrand(D$4,D$5,D$6,5,D$9,Lähteandmed!$C75,D94)</f>
        <v>0</v>
      </c>
      <c r="E95" s="22">
        <f>[1]!Olekuvorrand(E$4,E$5,E$6,5,E$9,Lähteandmed!$C75,E94)</f>
        <v>0</v>
      </c>
      <c r="F95" s="22">
        <f>[1]!Olekuvorrand(F$4,F$5,F$6,5,F$9,Lähteandmed!$C75,F94)</f>
        <v>0</v>
      </c>
      <c r="G95" s="22">
        <f>[1]!Olekuvorrand(G$4,G$5,G$6,5,G$9,Lähteandmed!$C75,G94)</f>
        <v>0</v>
      </c>
      <c r="H95" s="22">
        <f>[1]!Olekuvorrand(H$4,H$5,H$6,5,H$9,Lähteandmed!$C75,H94)</f>
        <v>0</v>
      </c>
      <c r="I95" s="22">
        <f>[1]!Olekuvorrand(I$4,I$5,I$6,5,I$9,Lähteandmed!$C75,I94)</f>
        <v>0</v>
      </c>
      <c r="J95" s="22">
        <f>[1]!Olekuvorrand(J$4,J$5,J$6,5,J$9,Lähteandmed!$C75,J94)</f>
        <v>0</v>
      </c>
      <c r="K95" s="22">
        <f>[1]!Olekuvorrand(K$4,K$5,K$6,5,K$9,Lähteandmed!$C75,K94)</f>
        <v>0</v>
      </c>
      <c r="L95" s="22">
        <f>[1]!Olekuvorrand(L$4,L$5,L$6,5,L$9,Lähteandmed!$C75,L94)</f>
        <v>0</v>
      </c>
      <c r="M95" s="22">
        <f>[1]!Olekuvorrand(M$4,M$5,M$6,5,M$9,Lähteandmed!$C75,M94)</f>
        <v>0</v>
      </c>
      <c r="N95" s="22">
        <f>[1]!Olekuvorrand(N$4,N$5,N$6,5,N$9,Lähteandmed!$C75,N94)</f>
        <v>0</v>
      </c>
      <c r="O95" s="22">
        <f>[1]!Olekuvorrand(O$4,O$5,O$6,5,O$9,Lähteandmed!$C75,O94)</f>
        <v>0</v>
      </c>
      <c r="P95" s="22">
        <f>[1]!Olekuvorrand(P$4,P$5,P$6,5,P$9,Lähteandmed!$C75,P94)</f>
        <v>0</v>
      </c>
      <c r="Q95" s="22">
        <f>[1]!Olekuvorrand(Q$4,Q$5,Q$6,5,Q$9,Lähteandmed!$C75,Q94)</f>
        <v>0</v>
      </c>
      <c r="R95" s="22" t="e">
        <f>[1]!Olekuvorrand(R$4,R$5,R$6,5,R$9,Lähteandmed!$C75,R94)</f>
        <v>#VALUE!</v>
      </c>
      <c r="S95" s="22">
        <f>[1]!Olekuvorrand(S$4,S$5,S$6,5,S$9,Lähteandmed!$C75,S94)</f>
        <v>0</v>
      </c>
      <c r="T95" s="22">
        <f>[1]!Olekuvorrand(T$4,T$5,T$6,5,T$9,Lähteandmed!$C75,T94)</f>
        <v>0</v>
      </c>
    </row>
    <row r="96" spans="1:20" x14ac:dyDescent="0.2">
      <c r="A96" s="159"/>
      <c r="B96" s="174"/>
      <c r="C96" s="77" t="s">
        <v>105</v>
      </c>
      <c r="D96" s="9">
        <f>[1]!ripe(D95,D$9+Lähteandmed!$E75*D$11,D$4,0)</f>
        <v>0</v>
      </c>
      <c r="E96" s="9">
        <f>[1]!ripe(E95,E$9+Lähteandmed!$E75*E$11,E$4,0)</f>
        <v>0</v>
      </c>
      <c r="F96" s="9">
        <f>[1]!ripe(F95,F$9+Lähteandmed!$E75*F$11,F$4,0)</f>
        <v>0</v>
      </c>
      <c r="G96" s="9">
        <f>[1]!ripe(G95,G$9+Lähteandmed!$E75*G$11,G$4,0)</f>
        <v>0</v>
      </c>
      <c r="H96" s="9">
        <f>[1]!ripe(H95,H$9+Lähteandmed!$E75*H$11,H$4,0)</f>
        <v>0</v>
      </c>
      <c r="I96" s="9">
        <f>[1]!ripe(I95,I$9+Lähteandmed!$E75*I$11,I$4,0)</f>
        <v>0</v>
      </c>
      <c r="J96" s="9">
        <f>[1]!ripe(J95,J$9+Lähteandmed!$E75*J$11,J$4,0)</f>
        <v>0</v>
      </c>
      <c r="K96" s="9">
        <f>[1]!ripe(K95,K$9+Lähteandmed!$E75*K$11,K$4,0)</f>
        <v>0</v>
      </c>
      <c r="L96" s="9">
        <f>[1]!ripe(L95,L$9+Lähteandmed!$E75*L$11,L$4,0)</f>
        <v>0</v>
      </c>
      <c r="M96" s="9">
        <f>[1]!ripe(M95,M$9+Lähteandmed!$E75*M$11,M$4,0)</f>
        <v>0</v>
      </c>
      <c r="N96" s="9">
        <f>[1]!ripe(N95,N$9+Lähteandmed!$E75*N$11,N$4,0)</f>
        <v>0</v>
      </c>
      <c r="O96" s="9">
        <f>[1]!ripe(O95,O$9+Lähteandmed!$E75*O$11,O$4,0)</f>
        <v>0</v>
      </c>
      <c r="P96" s="9">
        <f>[1]!ripe(P95,P$9+Lähteandmed!$E75*P$11,P$4,0)</f>
        <v>0</v>
      </c>
      <c r="Q96" s="9">
        <f>[1]!ripe(Q95,Q$9+Lähteandmed!$E75*Q$11,Q$4,0)</f>
        <v>0</v>
      </c>
      <c r="R96" s="9" t="e">
        <f>[1]!ripe(R95,R$9+Lähteandmed!$E75*R$11,R$4,0)</f>
        <v>#VALUE!</v>
      </c>
      <c r="S96" s="9">
        <f>[1]!ripe(S95,S$9+Lähteandmed!$E75*S$11,S$4,0)</f>
        <v>0</v>
      </c>
      <c r="T96" s="9">
        <f>[1]!ripe(T95,T$9+Lähteandmed!$E75*T$11,T$4,0)</f>
        <v>0</v>
      </c>
    </row>
    <row r="97" spans="1:20" x14ac:dyDescent="0.2">
      <c r="A97" s="72"/>
      <c r="B97" s="174"/>
      <c r="C97" s="77" t="s">
        <v>49</v>
      </c>
      <c r="D97" s="51">
        <f t="shared" ref="D97:K97" si="62">D96/D$4^2*1000000</f>
        <v>0</v>
      </c>
      <c r="E97" s="51">
        <f t="shared" ref="E97:T97" si="63">E96/E$4^2*1000000</f>
        <v>0</v>
      </c>
      <c r="F97" s="51">
        <f t="shared" si="63"/>
        <v>0</v>
      </c>
      <c r="G97" s="51">
        <f t="shared" si="63"/>
        <v>0</v>
      </c>
      <c r="H97" s="51">
        <f t="shared" si="63"/>
        <v>0</v>
      </c>
      <c r="I97" s="51">
        <f t="shared" si="63"/>
        <v>0</v>
      </c>
      <c r="J97" s="51">
        <f t="shared" si="63"/>
        <v>0</v>
      </c>
      <c r="K97" s="51">
        <f t="shared" si="63"/>
        <v>0</v>
      </c>
      <c r="L97" s="51">
        <f t="shared" si="63"/>
        <v>0</v>
      </c>
      <c r="M97" s="51">
        <f t="shared" si="63"/>
        <v>0</v>
      </c>
      <c r="N97" s="51">
        <f t="shared" si="63"/>
        <v>0</v>
      </c>
      <c r="O97" s="51">
        <f t="shared" si="63"/>
        <v>0</v>
      </c>
      <c r="P97" s="51">
        <f t="shared" si="63"/>
        <v>0</v>
      </c>
      <c r="Q97" s="51">
        <f t="shared" si="63"/>
        <v>0</v>
      </c>
      <c r="R97" s="51" t="e">
        <f t="shared" si="63"/>
        <v>#VALUE!</v>
      </c>
      <c r="S97" s="51">
        <f t="shared" si="63"/>
        <v>0</v>
      </c>
      <c r="T97" s="51">
        <f t="shared" si="63"/>
        <v>0</v>
      </c>
    </row>
    <row r="98" spans="1:20" ht="38.25" x14ac:dyDescent="0.2">
      <c r="A98" s="172">
        <v>19</v>
      </c>
      <c r="B98" s="173">
        <f>Lähteandmed!B78</f>
        <v>0</v>
      </c>
      <c r="C98" s="76" t="s">
        <v>222</v>
      </c>
      <c r="D98" s="6">
        <f>SQRT((kaalutegur R_19*[1]!juhe(D5,6)+jaitetegur R_19*[1]!Jaitekoormus_EN(D$5,JaideJ_1,hJ_1))^2+(tuuletegur R_19*[1]!Tuulekoormus_en(D$5,QJ_1,hJ_1,zo,D$4,JaideJ_1,jaitetegur R_19))^2)</f>
        <v>0</v>
      </c>
      <c r="E98" s="6">
        <f>SQRT((kaalutegur R_19*[1]!juhe(E5,6)+jaitetegur R_19*[1]!Jaitekoormus_EN(E$5,JaideJ_1,hJ_1))^2+(tuuletegur R_19*[1]!Tuulekoormus_en(E$5,QJ_1,hJ_1,zo,E$4,JaideJ_1,jaitetegur R_19))^2)</f>
        <v>0</v>
      </c>
      <c r="F98" s="6">
        <f>SQRT((kaalutegur R_19*[1]!juhe(F5,6)+jaitetegur R_19*[1]!Jaitekoormus_EN(F$5,JaideJ_1,hJ_1))^2+(tuuletegur R_19*[1]!Tuulekoormus_en(F$5,QJ_1,hJ_1,zo,F$4,JaideJ_1,jaitetegur R_19))^2)</f>
        <v>0</v>
      </c>
      <c r="G98" s="6">
        <f>SQRT((kaalutegur R_19*[1]!juhe(G5,6)+jaitetegur R_19*[1]!Jaitekoormus_EN(G$5,JaideJ_1,hJ_1))^2+(tuuletegur R_19*[1]!Tuulekoormus_en(G$5,QJ_1,hJ_1,zo,G$4,JaideJ_1,jaitetegur R_19))^2)</f>
        <v>0</v>
      </c>
      <c r="H98" s="6">
        <f>SQRT((kaalutegur R_19*[1]!juhe(H5,6)+jaitetegur R_19*[1]!Jaitekoormus_EN(H$5,JaideJ_1,hJ_1))^2+(tuuletegur R_19*[1]!Tuulekoormus_en(H$5,QJ_1,hJ_1,zo,H$4,JaideJ_1,jaitetegur R_19))^2)</f>
        <v>0</v>
      </c>
      <c r="I98" s="6">
        <f>SQRT((kaalutegur R_19*[1]!juhe(I5,6)+jaitetegur R_19*[1]!Jaitekoormus_EN(I$5,JaideJ_1,hJ_1))^2+(tuuletegur R_19*[1]!Tuulekoormus_en(I$5,QJ_1,hJ_1,zo,I$4,JaideJ_1,jaitetegur R_19))^2)</f>
        <v>0</v>
      </c>
      <c r="J98" s="6">
        <f>SQRT((kaalutegur R_19*[1]!juhe(J5,6)+jaitetegur R_19*[1]!Jaitekoormus_EN(J$5,JaideJ_1,hJ_1))^2+(tuuletegur R_19*[1]!Tuulekoormus_en(J$5,QJ_1,hJ_1,zo,J$4,JaideJ_1,jaitetegur R_19))^2)</f>
        <v>0</v>
      </c>
      <c r="K98" s="6">
        <f>SQRT((kaalutegur R_19*[1]!juhe(K5,6)+jaitetegur R_19*[1]!Jaitekoormus_EN(K$5,JaideJ_1,hJ_1))^2+(tuuletegur R_19*[1]!Tuulekoormus_en(K$5,QJ_1,hJ_1,zo,K$4,JaideJ_1,jaitetegur R_19))^2)</f>
        <v>0</v>
      </c>
      <c r="L98" s="6">
        <f>SQRT((kaalutegur R_19*[1]!juhe(L5,6)+jaitetegur R_19*[1]!Jaitekoormus_EN(L$5,JaideJ_1,hJ_1))^2+(tuuletegur R_19*[1]!Tuulekoormus_en(L$5,QJ_1,hJ_1,zo,L$4,JaideJ_1,jaitetegur R_19))^2)</f>
        <v>0</v>
      </c>
      <c r="M98" s="6">
        <f>SQRT((kaalutegur R_19*[1]!juhe(M5,6)+jaitetegur R_19*[1]!Jaitekoormus_EN(M$5,JaideJ_1,hJ_1))^2+(tuuletegur R_19*[1]!Tuulekoormus_en(M$5,QJ_1,hJ_1,zo,M$4,JaideJ_1,jaitetegur R_19))^2)</f>
        <v>0</v>
      </c>
      <c r="N98" s="6">
        <f>SQRT((kaalutegur R_19*[1]!juhe(N5,6)+jaitetegur R_19*[1]!Jaitekoormus_EN(N$5,JaideJ_1,hJ_1))^2+(tuuletegur R_19*[1]!Tuulekoormus_en(N$5,QJ_1,hJ_1,zo,N$4,JaideJ_1,jaitetegur R_19))^2)</f>
        <v>0</v>
      </c>
      <c r="O98" s="6">
        <f>SQRT((kaalutegur R_19*[1]!juhe(O5,6)+jaitetegur R_19*[1]!Jaitekoormus_EN(O$5,JaideJ_1,hJ_1))^2+(tuuletegur R_19*[1]!Tuulekoormus_en(O$5,QJ_1,hJ_1,zo,O$4,JaideJ_1,jaitetegur R_19))^2)</f>
        <v>0</v>
      </c>
      <c r="P98" s="6">
        <f>SQRT((kaalutegur R_19*[1]!juhe(P5,6)+jaitetegur R_19*[1]!Jaitekoormus_EN(P$5,JaideJ_1,hJ_1))^2+(tuuletegur R_19*[1]!Tuulekoormus_en(P$5,QJ_1,hJ_1,zo,P$4,JaideJ_1,jaitetegur R_19))^2)</f>
        <v>0</v>
      </c>
      <c r="Q98" s="6">
        <f>SQRT((kaalutegur R_19*[1]!juhe(Q5,6)+jaitetegur R_19*[1]!Jaitekoormus_EN(Q$5,JaideJ_1,hJ_1))^2+(tuuletegur R_19*[1]!Tuulekoormus_en(Q$5,QJ_1,hJ_1,zo,Q$4,JaideJ_1,jaitetegur R_19))^2)</f>
        <v>0</v>
      </c>
      <c r="R98" s="6" t="e">
        <f>SQRT((kaalutegur R_19*[1]!juhe(R5,6)+jaitetegur R_19*[1]!Jaitekoormus_EN(R$5,JaideJ_1,hJ_1))^2+(tuuletegur R_19*[1]!Tuulekoormus_en(R$5,QJ_1,hJ_1,zo,R$4,JaideJ_1,jaitetegur R_19))^2)</f>
        <v>#VALUE!</v>
      </c>
      <c r="S98" s="6">
        <f>SQRT((kaalutegur R_19*[1]!juhe(S5,6)+jaitetegur R_19*[1]!Jaitekoormus_EN(S$5,JaideJ_1,hJ_1))^2+(tuuletegur R_19*[1]!Tuulekoormus_en(S$5,QJ_1,hJ_1,zo,S$4,JaideJ_1,jaitetegur R_19))^2)</f>
        <v>0</v>
      </c>
      <c r="T98" s="6">
        <f>SQRT((kaalutegur R_19*[1]!juhe(T5,6)+jaitetegur R_19*[1]!Jaitekoormus_EN(T$5,JaideJ_1,hJ_1))^2+(tuuletegur R_19*[1]!Tuulekoormus_en(T$5,QJ_1,hJ_1,zo,T$4,JaideJ_1,jaitetegur R_19))^2)</f>
        <v>0</v>
      </c>
    </row>
    <row r="99" spans="1:20" x14ac:dyDescent="0.2">
      <c r="A99" s="172"/>
      <c r="B99" s="173"/>
      <c r="C99" s="76" t="s">
        <v>104</v>
      </c>
      <c r="D99" s="3">
        <f>[1]!Olekuvorrand(D$4,D$5,D$6,5,D$9,Lähteandmed!$C78,D98)</f>
        <v>0</v>
      </c>
      <c r="E99" s="3">
        <f>[1]!Olekuvorrand(E$4,E$5,E$6,5,E$9,Lähteandmed!$C78,E98)</f>
        <v>0</v>
      </c>
      <c r="F99" s="3">
        <f>[1]!Olekuvorrand(F$4,F$5,F$6,5,F$9,Lähteandmed!$C78,F98)</f>
        <v>0</v>
      </c>
      <c r="G99" s="3">
        <f>[1]!Olekuvorrand(G$4,G$5,G$6,5,G$9,Lähteandmed!$C78,G98)</f>
        <v>0</v>
      </c>
      <c r="H99" s="3">
        <f>[1]!Olekuvorrand(H$4,H$5,H$6,5,H$9,Lähteandmed!$C78,H98)</f>
        <v>0</v>
      </c>
      <c r="I99" s="3">
        <f>[1]!Olekuvorrand(I$4,I$5,I$6,5,I$9,Lähteandmed!$C78,I98)</f>
        <v>0</v>
      </c>
      <c r="J99" s="3">
        <f>[1]!Olekuvorrand(J$4,J$5,J$6,5,J$9,Lähteandmed!$C78,J98)</f>
        <v>0</v>
      </c>
      <c r="K99" s="3">
        <f>[1]!Olekuvorrand(K$4,K$5,K$6,5,K$9,Lähteandmed!$C78,K98)</f>
        <v>0</v>
      </c>
      <c r="L99" s="3">
        <f>[1]!Olekuvorrand(L$4,L$5,L$6,5,L$9,Lähteandmed!$C78,L98)</f>
        <v>0</v>
      </c>
      <c r="M99" s="3">
        <f>[1]!Olekuvorrand(M$4,M$5,M$6,5,M$9,Lähteandmed!$C78,M98)</f>
        <v>0</v>
      </c>
      <c r="N99" s="3">
        <f>[1]!Olekuvorrand(N$4,N$5,N$6,5,N$9,Lähteandmed!$C78,N98)</f>
        <v>0</v>
      </c>
      <c r="O99" s="3">
        <f>[1]!Olekuvorrand(O$4,O$5,O$6,5,O$9,Lähteandmed!$C78,O98)</f>
        <v>0</v>
      </c>
      <c r="P99" s="3">
        <f>[1]!Olekuvorrand(P$4,P$5,P$6,5,P$9,Lähteandmed!$C78,P98)</f>
        <v>0</v>
      </c>
      <c r="Q99" s="3">
        <f>[1]!Olekuvorrand(Q$4,Q$5,Q$6,5,Q$9,Lähteandmed!$C78,Q98)</f>
        <v>0</v>
      </c>
      <c r="R99" s="3" t="e">
        <f>[1]!Olekuvorrand(R$4,R$5,R$6,5,R$9,Lähteandmed!$C78,R98)</f>
        <v>#VALUE!</v>
      </c>
      <c r="S99" s="3">
        <f>[1]!Olekuvorrand(S$4,S$5,S$6,5,S$9,Lähteandmed!$C78,S98)</f>
        <v>0</v>
      </c>
      <c r="T99" s="3">
        <f>[1]!Olekuvorrand(T$4,T$5,T$6,5,T$9,Lähteandmed!$C78,T98)</f>
        <v>0</v>
      </c>
    </row>
    <row r="100" spans="1:20" x14ac:dyDescent="0.2">
      <c r="A100" s="172"/>
      <c r="B100" s="173"/>
      <c r="C100" s="76" t="s">
        <v>105</v>
      </c>
      <c r="D100" s="3">
        <f>[1]!ripe(D99,D$9+Lähteandmed!$E78*D$11,D$4,0)</f>
        <v>0</v>
      </c>
      <c r="E100" s="3">
        <f>[1]!ripe(E99,E$9+Lähteandmed!$E78*E$11,E$4,0)</f>
        <v>0</v>
      </c>
      <c r="F100" s="3">
        <f>[1]!ripe(F99,F$9+Lähteandmed!$E78*F$11,F$4,0)</f>
        <v>0</v>
      </c>
      <c r="G100" s="3">
        <f>[1]!ripe(G99,G$9+Lähteandmed!$E78*G$11,G$4,0)</f>
        <v>0</v>
      </c>
      <c r="H100" s="3">
        <f>[1]!ripe(H99,H$9+Lähteandmed!$E78*H$11,H$4,0)</f>
        <v>0</v>
      </c>
      <c r="I100" s="3">
        <f>[1]!ripe(I99,I$9+Lähteandmed!$E78*I$11,I$4,0)</f>
        <v>0</v>
      </c>
      <c r="J100" s="3">
        <f>[1]!ripe(J99,J$9+Lähteandmed!$E78*J$11,J$4,0)</f>
        <v>0</v>
      </c>
      <c r="K100" s="3">
        <f>[1]!ripe(K99,K$9+Lähteandmed!$E78*K$11,K$4,0)</f>
        <v>0</v>
      </c>
      <c r="L100" s="3">
        <f>[1]!ripe(L99,L$9+Lähteandmed!$E78*L$11,L$4,0)</f>
        <v>0</v>
      </c>
      <c r="M100" s="3">
        <f>[1]!ripe(M99,M$9+Lähteandmed!$E78*M$11,M$4,0)</f>
        <v>0</v>
      </c>
      <c r="N100" s="3">
        <f>[1]!ripe(N99,N$9+Lähteandmed!$E78*N$11,N$4,0)</f>
        <v>0</v>
      </c>
      <c r="O100" s="3">
        <f>[1]!ripe(O99,O$9+Lähteandmed!$E78*O$11,O$4,0)</f>
        <v>0</v>
      </c>
      <c r="P100" s="3">
        <f>[1]!ripe(P99,P$9+Lähteandmed!$E78*P$11,P$4,0)</f>
        <v>0</v>
      </c>
      <c r="Q100" s="3">
        <f>[1]!ripe(Q99,Q$9+Lähteandmed!$E78*Q$11,Q$4,0)</f>
        <v>0</v>
      </c>
      <c r="R100" s="3" t="e">
        <f>[1]!ripe(R99,R$9+Lähteandmed!$E78*R$11,R$4,0)</f>
        <v>#VALUE!</v>
      </c>
      <c r="S100" s="3">
        <f>[1]!ripe(S99,S$9+Lähteandmed!$E78*S$11,S$4,0)</f>
        <v>0</v>
      </c>
      <c r="T100" s="3">
        <f>[1]!ripe(T99,T$9+Lähteandmed!$E78*T$11,T$4,0)</f>
        <v>0</v>
      </c>
    </row>
    <row r="101" spans="1:20" x14ac:dyDescent="0.2">
      <c r="A101" s="73"/>
      <c r="B101" s="173"/>
      <c r="C101" s="76" t="s">
        <v>49</v>
      </c>
      <c r="D101" s="50">
        <f t="shared" ref="D101:K101" si="64">D100/D$4^2*1000000</f>
        <v>0</v>
      </c>
      <c r="E101" s="50">
        <f t="shared" ref="E101:T101" si="65">E100/E$4^2*1000000</f>
        <v>0</v>
      </c>
      <c r="F101" s="50">
        <f t="shared" si="65"/>
        <v>0</v>
      </c>
      <c r="G101" s="50">
        <f t="shared" si="65"/>
        <v>0</v>
      </c>
      <c r="H101" s="50">
        <f t="shared" si="65"/>
        <v>0</v>
      </c>
      <c r="I101" s="50">
        <f t="shared" si="65"/>
        <v>0</v>
      </c>
      <c r="J101" s="50">
        <f t="shared" si="65"/>
        <v>0</v>
      </c>
      <c r="K101" s="50">
        <f t="shared" si="65"/>
        <v>0</v>
      </c>
      <c r="L101" s="50">
        <f t="shared" si="65"/>
        <v>0</v>
      </c>
      <c r="M101" s="50">
        <f t="shared" si="65"/>
        <v>0</v>
      </c>
      <c r="N101" s="50">
        <f t="shared" si="65"/>
        <v>0</v>
      </c>
      <c r="O101" s="50">
        <f t="shared" si="65"/>
        <v>0</v>
      </c>
      <c r="P101" s="50">
        <f t="shared" si="65"/>
        <v>0</v>
      </c>
      <c r="Q101" s="50">
        <f t="shared" si="65"/>
        <v>0</v>
      </c>
      <c r="R101" s="50" t="e">
        <f t="shared" si="65"/>
        <v>#VALUE!</v>
      </c>
      <c r="S101" s="50">
        <f t="shared" si="65"/>
        <v>0</v>
      </c>
      <c r="T101" s="50">
        <f t="shared" si="65"/>
        <v>0</v>
      </c>
    </row>
    <row r="102" spans="1:20" ht="38.25" x14ac:dyDescent="0.2">
      <c r="A102" s="159">
        <v>20</v>
      </c>
      <c r="B102" s="174">
        <f>Lähteandmed!B81</f>
        <v>0</v>
      </c>
      <c r="C102" s="77" t="s">
        <v>222</v>
      </c>
      <c r="D102" s="9">
        <f>SQRT((kaalutegur R_20*[1]!juhe(D5,6)+jaitetegur R_20*[1]!Jaitekoormus_EN(D$5,JaideJ_1,hJ_1))^2+(tuuletegur R_20*[1]!Tuulekoormus_en(D$5,QJ_1,hJ_1,zo,D$4,JaideJ_1,jaitetegur R_20))^2)</f>
        <v>0</v>
      </c>
      <c r="E102" s="9">
        <f>SQRT((kaalutegur R_20*[1]!juhe(E5,6)+jaitetegur R_20*[1]!Jaitekoormus_EN(E$5,JaideJ_1,hJ_1))^2+(tuuletegur R_20*[1]!Tuulekoormus_en(E$5,QJ_1,hJ_1,zo,E$4,JaideJ_1,jaitetegur R_20))^2)</f>
        <v>0</v>
      </c>
      <c r="F102" s="9">
        <f>SQRT((kaalutegur R_20*[1]!juhe(F5,6)+jaitetegur R_20*[1]!Jaitekoormus_EN(F$5,JaideJ_1,hJ_1))^2+(tuuletegur R_20*[1]!Tuulekoormus_en(F$5,QJ_1,hJ_1,zo,F$4,JaideJ_1,jaitetegur R_20))^2)</f>
        <v>0</v>
      </c>
      <c r="G102" s="9">
        <f>SQRT((kaalutegur R_20*[1]!juhe(G5,6)+jaitetegur R_20*[1]!Jaitekoormus_EN(G$5,JaideJ_1,hJ_1))^2+(tuuletegur R_20*[1]!Tuulekoormus_en(G$5,QJ_1,hJ_1,zo,G$4,JaideJ_1,jaitetegur R_20))^2)</f>
        <v>0</v>
      </c>
      <c r="H102" s="9">
        <f>SQRT((kaalutegur R_20*[1]!juhe(H5,6)+jaitetegur R_20*[1]!Jaitekoormus_EN(H$5,JaideJ_1,hJ_1))^2+(tuuletegur R_20*[1]!Tuulekoormus_en(H$5,QJ_1,hJ_1,zo,H$4,JaideJ_1,jaitetegur R_20))^2)</f>
        <v>0</v>
      </c>
      <c r="I102" s="9">
        <f>SQRT((kaalutegur R_20*[1]!juhe(I5,6)+jaitetegur R_20*[1]!Jaitekoormus_EN(I$5,JaideJ_1,hJ_1))^2+(tuuletegur R_20*[1]!Tuulekoormus_en(I$5,QJ_1,hJ_1,zo,I$4,JaideJ_1,jaitetegur R_20))^2)</f>
        <v>0</v>
      </c>
      <c r="J102" s="9">
        <f>SQRT((kaalutegur R_20*[1]!juhe(J5,6)+jaitetegur R_20*[1]!Jaitekoormus_EN(J$5,JaideJ_1,hJ_1))^2+(tuuletegur R_20*[1]!Tuulekoormus_en(J$5,QJ_1,hJ_1,zo,J$4,JaideJ_1,jaitetegur R_20))^2)</f>
        <v>0</v>
      </c>
      <c r="K102" s="9">
        <f>SQRT((kaalutegur R_20*[1]!juhe(K5,6)+jaitetegur R_20*[1]!Jaitekoormus_EN(K$5,JaideJ_1,hJ_1))^2+(tuuletegur R_20*[1]!Tuulekoormus_en(K$5,QJ_1,hJ_1,zo,K$4,JaideJ_1,jaitetegur R_20))^2)</f>
        <v>0</v>
      </c>
      <c r="L102" s="9">
        <f>SQRT((kaalutegur R_20*[1]!juhe(L5,6)+jaitetegur R_20*[1]!Jaitekoormus_EN(L$5,JaideJ_1,hJ_1))^2+(tuuletegur R_20*[1]!Tuulekoormus_en(L$5,QJ_1,hJ_1,zo,L$4,JaideJ_1,jaitetegur R_20))^2)</f>
        <v>0</v>
      </c>
      <c r="M102" s="9">
        <f>SQRT((kaalutegur R_20*[1]!juhe(M5,6)+jaitetegur R_20*[1]!Jaitekoormus_EN(M$5,JaideJ_1,hJ_1))^2+(tuuletegur R_20*[1]!Tuulekoormus_en(M$5,QJ_1,hJ_1,zo,M$4,JaideJ_1,jaitetegur R_20))^2)</f>
        <v>0</v>
      </c>
      <c r="N102" s="9">
        <f>SQRT((kaalutegur R_20*[1]!juhe(N5,6)+jaitetegur R_20*[1]!Jaitekoormus_EN(N$5,JaideJ_1,hJ_1))^2+(tuuletegur R_20*[1]!Tuulekoormus_en(N$5,QJ_1,hJ_1,zo,N$4,JaideJ_1,jaitetegur R_20))^2)</f>
        <v>0</v>
      </c>
      <c r="O102" s="9">
        <f>SQRT((kaalutegur R_20*[1]!juhe(O5,6)+jaitetegur R_20*[1]!Jaitekoormus_EN(O$5,JaideJ_1,hJ_1))^2+(tuuletegur R_20*[1]!Tuulekoormus_en(O$5,QJ_1,hJ_1,zo,O$4,JaideJ_1,jaitetegur R_20))^2)</f>
        <v>0</v>
      </c>
      <c r="P102" s="9">
        <f>SQRT((kaalutegur R_20*[1]!juhe(P5,6)+jaitetegur R_20*[1]!Jaitekoormus_EN(P$5,JaideJ_1,hJ_1))^2+(tuuletegur R_20*[1]!Tuulekoormus_en(P$5,QJ_1,hJ_1,zo,P$4,JaideJ_1,jaitetegur R_20))^2)</f>
        <v>0</v>
      </c>
      <c r="Q102" s="9">
        <f>SQRT((kaalutegur R_20*[1]!juhe(Q5,6)+jaitetegur R_20*[1]!Jaitekoormus_EN(Q$5,JaideJ_1,hJ_1))^2+(tuuletegur R_20*[1]!Tuulekoormus_en(Q$5,QJ_1,hJ_1,zo,Q$4,JaideJ_1,jaitetegur R_20))^2)</f>
        <v>0</v>
      </c>
      <c r="R102" s="9" t="e">
        <f>SQRT((kaalutegur R_20*[1]!juhe(R5,6)+jaitetegur R_20*[1]!Jaitekoormus_EN(R$5,JaideJ_1,hJ_1))^2+(tuuletegur R_20*[1]!Tuulekoormus_en(R$5,QJ_1,hJ_1,zo,R$4,JaideJ_1,jaitetegur R_20))^2)</f>
        <v>#VALUE!</v>
      </c>
      <c r="S102" s="9">
        <f>SQRT((kaalutegur R_20*[1]!juhe(S5,6)+jaitetegur R_20*[1]!Jaitekoormus_EN(S$5,JaideJ_1,hJ_1))^2+(tuuletegur R_20*[1]!Tuulekoormus_en(S$5,QJ_1,hJ_1,zo,S$4,JaideJ_1,jaitetegur R_20))^2)</f>
        <v>0</v>
      </c>
      <c r="T102" s="9">
        <f>SQRT((kaalutegur R_20*[1]!juhe(T5,6)+jaitetegur R_20*[1]!Jaitekoormus_EN(T$5,JaideJ_1,hJ_1))^2+(tuuletegur R_20*[1]!Tuulekoormus_en(T$5,QJ_1,hJ_1,zo,T$4,JaideJ_1,jaitetegur R_20))^2)</f>
        <v>0</v>
      </c>
    </row>
    <row r="103" spans="1:20" x14ac:dyDescent="0.2">
      <c r="A103" s="159"/>
      <c r="B103" s="174"/>
      <c r="C103" s="77" t="s">
        <v>104</v>
      </c>
      <c r="D103" s="22">
        <f>[1]!Olekuvorrand(D$4,D$5,D$6,5,D$9,Lähteandmed!$C81,D102)</f>
        <v>0</v>
      </c>
      <c r="E103" s="22">
        <f>[1]!Olekuvorrand(E$4,E$5,E$6,5,E$9,Lähteandmed!$C81,E102)</f>
        <v>0</v>
      </c>
      <c r="F103" s="22">
        <f>[1]!Olekuvorrand(F$4,F$5,F$6,5,F$9,Lähteandmed!$C81,F102)</f>
        <v>0</v>
      </c>
      <c r="G103" s="22">
        <f>[1]!Olekuvorrand(G$4,G$5,G$6,5,G$9,Lähteandmed!$C81,G102)</f>
        <v>0</v>
      </c>
      <c r="H103" s="22">
        <f>[1]!Olekuvorrand(H$4,H$5,H$6,5,H$9,Lähteandmed!$C81,H102)</f>
        <v>0</v>
      </c>
      <c r="I103" s="22">
        <f>[1]!Olekuvorrand(I$4,I$5,I$6,5,I$9,Lähteandmed!$C81,I102)</f>
        <v>0</v>
      </c>
      <c r="J103" s="22">
        <f>[1]!Olekuvorrand(J$4,J$5,J$6,5,J$9,Lähteandmed!$C81,J102)</f>
        <v>0</v>
      </c>
      <c r="K103" s="22">
        <f>[1]!Olekuvorrand(K$4,K$5,K$6,5,K$9,Lähteandmed!$C81,K102)</f>
        <v>0</v>
      </c>
      <c r="L103" s="22">
        <f>[1]!Olekuvorrand(L$4,L$5,L$6,5,L$9,Lähteandmed!$C81,L102)</f>
        <v>0</v>
      </c>
      <c r="M103" s="22">
        <f>[1]!Olekuvorrand(M$4,M$5,M$6,5,M$9,Lähteandmed!$C81,M102)</f>
        <v>0</v>
      </c>
      <c r="N103" s="22">
        <f>[1]!Olekuvorrand(N$4,N$5,N$6,5,N$9,Lähteandmed!$C81,N102)</f>
        <v>0</v>
      </c>
      <c r="O103" s="22">
        <f>[1]!Olekuvorrand(O$4,O$5,O$6,5,O$9,Lähteandmed!$C81,O102)</f>
        <v>0</v>
      </c>
      <c r="P103" s="22">
        <f>[1]!Olekuvorrand(P$4,P$5,P$6,5,P$9,Lähteandmed!$C81,P102)</f>
        <v>0</v>
      </c>
      <c r="Q103" s="22">
        <f>[1]!Olekuvorrand(Q$4,Q$5,Q$6,5,Q$9,Lähteandmed!$C81,Q102)</f>
        <v>0</v>
      </c>
      <c r="R103" s="22" t="e">
        <f>[1]!Olekuvorrand(R$4,R$5,R$6,5,R$9,Lähteandmed!$C81,R102)</f>
        <v>#VALUE!</v>
      </c>
      <c r="S103" s="22">
        <f>[1]!Olekuvorrand(S$4,S$5,S$6,5,S$9,Lähteandmed!$C81,S102)</f>
        <v>0</v>
      </c>
      <c r="T103" s="22">
        <f>[1]!Olekuvorrand(T$4,T$5,T$6,5,T$9,Lähteandmed!$C81,T102)</f>
        <v>0</v>
      </c>
    </row>
    <row r="104" spans="1:20" x14ac:dyDescent="0.2">
      <c r="A104" s="159"/>
      <c r="B104" s="174"/>
      <c r="C104" s="77" t="s">
        <v>105</v>
      </c>
      <c r="D104" s="9">
        <f>[1]!ripe(D103,D$9+Lähteandmed!$E81*D$11,D$4,0)</f>
        <v>0</v>
      </c>
      <c r="E104" s="9">
        <f>[1]!ripe(E103,E$9+Lähteandmed!$E81*E$11,E$4,0)</f>
        <v>0</v>
      </c>
      <c r="F104" s="9">
        <f>[1]!ripe(F103,F$9+Lähteandmed!$E81*F$11,F$4,0)</f>
        <v>0</v>
      </c>
      <c r="G104" s="9">
        <f>[1]!ripe(G103,G$9+Lähteandmed!$E81*G$11,G$4,0)</f>
        <v>0</v>
      </c>
      <c r="H104" s="9">
        <f>[1]!ripe(H103,H$9+Lähteandmed!$E81*H$11,H$4,0)</f>
        <v>0</v>
      </c>
      <c r="I104" s="9">
        <f>[1]!ripe(I103,I$9+Lähteandmed!$E81*I$11,I$4,0)</f>
        <v>0</v>
      </c>
      <c r="J104" s="9">
        <f>[1]!ripe(J103,J$9+Lähteandmed!$E81*J$11,J$4,0)</f>
        <v>0</v>
      </c>
      <c r="K104" s="9">
        <f>[1]!ripe(K103,K$9+Lähteandmed!$E81*K$11,K$4,0)</f>
        <v>0</v>
      </c>
      <c r="L104" s="9">
        <f>[1]!ripe(L103,L$9+Lähteandmed!$E81*L$11,L$4,0)</f>
        <v>0</v>
      </c>
      <c r="M104" s="9">
        <f>[1]!ripe(M103,M$9+Lähteandmed!$E81*M$11,M$4,0)</f>
        <v>0</v>
      </c>
      <c r="N104" s="9">
        <f>[1]!ripe(N103,N$9+Lähteandmed!$E81*N$11,N$4,0)</f>
        <v>0</v>
      </c>
      <c r="O104" s="9">
        <f>[1]!ripe(O103,O$9+Lähteandmed!$E81*O$11,O$4,0)</f>
        <v>0</v>
      </c>
      <c r="P104" s="9">
        <f>[1]!ripe(P103,P$9+Lähteandmed!$E81*P$11,P$4,0)</f>
        <v>0</v>
      </c>
      <c r="Q104" s="9">
        <f>[1]!ripe(Q103,Q$9+Lähteandmed!$E81*Q$11,Q$4,0)</f>
        <v>0</v>
      </c>
      <c r="R104" s="9" t="e">
        <f>[1]!ripe(R103,R$9+Lähteandmed!$E81*R$11,R$4,0)</f>
        <v>#VALUE!</v>
      </c>
      <c r="S104" s="9">
        <f>[1]!ripe(S103,S$9+Lähteandmed!$E81*S$11,S$4,0)</f>
        <v>0</v>
      </c>
      <c r="T104" s="9">
        <f>[1]!ripe(T103,T$9+Lähteandmed!$E81*T$11,T$4,0)</f>
        <v>0</v>
      </c>
    </row>
    <row r="105" spans="1:20" x14ac:dyDescent="0.2">
      <c r="B105" s="174"/>
      <c r="C105" s="77" t="s">
        <v>49</v>
      </c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</row>
    <row r="106" spans="1:20" x14ac:dyDescent="0.2">
      <c r="D106" s="6"/>
      <c r="E106" s="6"/>
      <c r="F106" s="6"/>
      <c r="G106" s="6"/>
      <c r="H106" s="6"/>
      <c r="I106" s="6"/>
      <c r="J106" s="6"/>
      <c r="K106" s="6"/>
    </row>
  </sheetData>
  <mergeCells count="46">
    <mergeCell ref="A98:A100"/>
    <mergeCell ref="B98:B101"/>
    <mergeCell ref="A102:A104"/>
    <mergeCell ref="B102:B105"/>
    <mergeCell ref="A86:A88"/>
    <mergeCell ref="B86:B89"/>
    <mergeCell ref="A90:A92"/>
    <mergeCell ref="B90:B93"/>
    <mergeCell ref="A94:A96"/>
    <mergeCell ref="B94:B97"/>
    <mergeCell ref="A74:A76"/>
    <mergeCell ref="B74:B77"/>
    <mergeCell ref="A78:A80"/>
    <mergeCell ref="B78:B81"/>
    <mergeCell ref="A82:A84"/>
    <mergeCell ref="B82:B85"/>
    <mergeCell ref="A62:A64"/>
    <mergeCell ref="B62:B65"/>
    <mergeCell ref="A66:A68"/>
    <mergeCell ref="B66:B69"/>
    <mergeCell ref="A70:A72"/>
    <mergeCell ref="B70:B73"/>
    <mergeCell ref="A50:A52"/>
    <mergeCell ref="B50:B53"/>
    <mergeCell ref="A54:A56"/>
    <mergeCell ref="B54:B57"/>
    <mergeCell ref="A58:A60"/>
    <mergeCell ref="B58:B61"/>
    <mergeCell ref="A38:A40"/>
    <mergeCell ref="B38:B41"/>
    <mergeCell ref="A42:A44"/>
    <mergeCell ref="B42:B45"/>
    <mergeCell ref="A46:A48"/>
    <mergeCell ref="B46:B49"/>
    <mergeCell ref="A26:A27"/>
    <mergeCell ref="B26:B29"/>
    <mergeCell ref="A30:A32"/>
    <mergeCell ref="B30:B33"/>
    <mergeCell ref="A34:A36"/>
    <mergeCell ref="B34:B37"/>
    <mergeCell ref="A1:B1"/>
    <mergeCell ref="A2:B2"/>
    <mergeCell ref="Q2:T2"/>
    <mergeCell ref="Q1:T1"/>
    <mergeCell ref="C2:P2"/>
    <mergeCell ref="C1:P1"/>
  </mergeCells>
  <conditionalFormatting sqref="D17:T17 D22:T24">
    <cfRule type="cellIs" dxfId="5" priority="1" stopIfTrue="1" operator="greaterThan">
      <formula>SMax</formula>
    </cfRule>
  </conditionalFormatting>
  <pageMargins left="0.25" right="0.25" top="0.75" bottom="0.75" header="0.3" footer="0.3"/>
  <pageSetup paperSize="9" scale="7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22"/>
  <sheetViews>
    <sheetView topLeftCell="A2" zoomScaleNormal="100" workbookViewId="0">
      <selection activeCell="P2" sqref="P2:R2"/>
    </sheetView>
  </sheetViews>
  <sheetFormatPr defaultRowHeight="12.75" x14ac:dyDescent="0.2"/>
  <cols>
    <col min="1" max="1" width="3.5703125" customWidth="1"/>
    <col min="2" max="3" width="18.5703125" customWidth="1"/>
    <col min="4" max="7" width="8.7109375" customWidth="1"/>
    <col min="17" max="17" width="9.5703125" customWidth="1"/>
  </cols>
  <sheetData>
    <row r="1" spans="1:18" ht="32.25" customHeight="1" x14ac:dyDescent="0.2">
      <c r="A1" s="166"/>
      <c r="B1" s="167"/>
      <c r="C1" s="179" t="str">
        <f>Köide</f>
        <v>330/110kV Tartu-Sindi õhuliini ehitus
II ehitusetapp, Puhja - Viljandi</v>
      </c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1"/>
      <c r="P1" s="182" t="s">
        <v>230</v>
      </c>
      <c r="Q1" s="182"/>
      <c r="R1" s="183"/>
    </row>
    <row r="2" spans="1:18" ht="27" customHeight="1" thickBot="1" x14ac:dyDescent="0.25">
      <c r="A2" s="168"/>
      <c r="B2" s="175"/>
      <c r="C2" s="176" t="s">
        <v>107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  <c r="P2" s="177"/>
      <c r="Q2" s="177"/>
      <c r="R2" s="178"/>
    </row>
    <row r="3" spans="1:18" s="79" customFormat="1" ht="25.5" x14ac:dyDescent="0.2">
      <c r="B3" s="82" t="s">
        <v>11</v>
      </c>
      <c r="C3" s="82"/>
      <c r="D3" s="83" t="str">
        <f>Visangud!D2</f>
        <v>103Y- 109Y</v>
      </c>
      <c r="E3" s="83" t="str">
        <f>Visangud!E2</f>
        <v>109Y- 117Y</v>
      </c>
      <c r="F3" s="83" t="str">
        <f>Visangud!F2</f>
        <v>117Y- 118Y</v>
      </c>
      <c r="G3" s="83" t="str">
        <f>Visangud!G2</f>
        <v>118Y- 121Y</v>
      </c>
      <c r="H3" s="83" t="str">
        <f>Visangud!H2</f>
        <v>121Y- 126Y</v>
      </c>
      <c r="I3" s="83" t="str">
        <f>Visangud!I2</f>
        <v>126Y- 128Y</v>
      </c>
      <c r="J3" s="83" t="str">
        <f>Visangud!J2</f>
        <v>128Y- 133Y</v>
      </c>
      <c r="K3" s="83" t="str">
        <f>Visangud!K2</f>
        <v>133Y- 137Y</v>
      </c>
      <c r="L3" s="83" t="str">
        <f>Visangud!L2</f>
        <v>137Y- 144Y</v>
      </c>
      <c r="M3" s="83" t="str">
        <f>Visangud!M2</f>
        <v>144Y- 148Y</v>
      </c>
      <c r="N3" s="83" t="str">
        <f>Visangud!N2</f>
        <v>148Y- 151Y</v>
      </c>
      <c r="O3" s="83" t="str">
        <f>Visangud!O2</f>
        <v>151Y- 154Y</v>
      </c>
      <c r="P3" s="83" t="str">
        <f>Visangud!P2</f>
        <v>154Y- 156Y</v>
      </c>
      <c r="Q3" s="83" t="str">
        <f>Visangud!Q2</f>
        <v>156Y- 164Y</v>
      </c>
      <c r="R3" s="83" t="str">
        <f>Visangud!R2</f>
        <v>164Y - L507 165</v>
      </c>
    </row>
    <row r="4" spans="1:18" x14ac:dyDescent="0.2">
      <c r="B4" s="1" t="s">
        <v>103</v>
      </c>
      <c r="C4" s="1"/>
      <c r="D4" s="98">
        <f>Visangud!D14</f>
        <v>447.20458836298803</v>
      </c>
      <c r="E4" s="98">
        <f>Visangud!E14</f>
        <v>443.42681236767572</v>
      </c>
      <c r="F4" s="98">
        <f>Visangud!F14</f>
        <v>440.31887592980098</v>
      </c>
      <c r="G4" s="98">
        <f>Visangud!G14</f>
        <v>352.77649774332502</v>
      </c>
      <c r="H4" s="98">
        <f>Visangud!H14</f>
        <v>429.81699666990465</v>
      </c>
      <c r="I4" s="98">
        <f>Visangud!I14</f>
        <v>421.89254548697357</v>
      </c>
      <c r="J4" s="98">
        <f>Visangud!J14</f>
        <v>408.37030439381806</v>
      </c>
      <c r="K4" s="98">
        <f>Visangud!K14</f>
        <v>469.49775693170682</v>
      </c>
      <c r="L4" s="98">
        <f>Visangud!L14</f>
        <v>408.56484089595034</v>
      </c>
      <c r="M4" s="98">
        <f>Visangud!M14</f>
        <v>466.6264206472535</v>
      </c>
      <c r="N4" s="98">
        <f>Visangud!N14</f>
        <v>461.53149095186666</v>
      </c>
      <c r="O4" s="98">
        <f>Visangud!O14</f>
        <v>407.59018580213103</v>
      </c>
      <c r="P4" s="98">
        <f>Visangud!P14</f>
        <v>360.03370480776539</v>
      </c>
      <c r="Q4" s="98">
        <f>Visangud!Q14</f>
        <v>372.01845882629567</v>
      </c>
      <c r="R4" s="98">
        <f>Visangud!R14</f>
        <v>426.99285708293951</v>
      </c>
    </row>
    <row r="5" spans="1:18" s="44" customFormat="1" ht="38.25" x14ac:dyDescent="0.2">
      <c r="B5" s="43" t="s">
        <v>47</v>
      </c>
      <c r="C5" s="43"/>
      <c r="D5" s="60" t="str">
        <f>Visangud!D5</f>
        <v>402-AL1/52-ST1A</v>
      </c>
      <c r="E5" s="60" t="str">
        <f>Visangud!E5</f>
        <v>402-AL1/52-ST1A</v>
      </c>
      <c r="F5" s="60" t="str">
        <f>Visangud!F5</f>
        <v>402-AL1/52-ST1A</v>
      </c>
      <c r="G5" s="60" t="str">
        <f>Visangud!G5</f>
        <v>402-AL1/52-ST1A</v>
      </c>
      <c r="H5" s="60" t="str">
        <f>Visangud!H5</f>
        <v>402-AL1/52-ST1A</v>
      </c>
      <c r="I5" s="60" t="str">
        <f>Visangud!I5</f>
        <v>402-AL1/52-ST1A</v>
      </c>
      <c r="J5" s="60" t="str">
        <f>Visangud!J5</f>
        <v>402-AL1/52-ST1A</v>
      </c>
      <c r="K5" s="60" t="str">
        <f>Visangud!K5</f>
        <v>402-AL1/52-ST1A</v>
      </c>
      <c r="L5" s="60" t="str">
        <f>Visangud!L5</f>
        <v>402-AL1/52-ST1A</v>
      </c>
      <c r="M5" s="60" t="str">
        <f>Visangud!M5</f>
        <v>402-AL1/52-ST1A</v>
      </c>
      <c r="N5" s="60" t="str">
        <f>Visangud!N5</f>
        <v>402-AL1/52-ST1A</v>
      </c>
      <c r="O5" s="60" t="str">
        <f>Visangud!O5</f>
        <v>402-AL1/52-ST1A</v>
      </c>
      <c r="P5" s="60" t="str">
        <f>Visangud!P5</f>
        <v>402-AL1/52-ST1A</v>
      </c>
      <c r="Q5" s="60" t="str">
        <f>Visangud!Q5</f>
        <v>402-AL1/52-ST1A</v>
      </c>
      <c r="R5" s="60" t="str">
        <f>Visangud!R5</f>
        <v>402-AL1/52-ST1A</v>
      </c>
    </row>
    <row r="6" spans="1:18" ht="13.5" thickBot="1" x14ac:dyDescent="0.25">
      <c r="B6" s="1" t="s">
        <v>35</v>
      </c>
      <c r="C6" s="1"/>
      <c r="D6" s="46">
        <f>Visangud!D3</f>
        <v>65</v>
      </c>
      <c r="E6" s="46">
        <f>Visangud!E3</f>
        <v>65</v>
      </c>
      <c r="F6" s="46">
        <f>Visangud!F3</f>
        <v>65</v>
      </c>
      <c r="G6" s="46">
        <f>Visangud!G3</f>
        <v>65</v>
      </c>
      <c r="H6" s="46">
        <f>Visangud!H3</f>
        <v>65</v>
      </c>
      <c r="I6" s="46">
        <f>Visangud!I3</f>
        <v>65</v>
      </c>
      <c r="J6" s="46">
        <f>Visangud!J3</f>
        <v>65</v>
      </c>
      <c r="K6" s="46">
        <f>Visangud!K3</f>
        <v>65</v>
      </c>
      <c r="L6" s="46">
        <f>Visangud!L3</f>
        <v>65</v>
      </c>
      <c r="M6" s="46">
        <f>Visangud!M3</f>
        <v>65</v>
      </c>
      <c r="N6" s="46">
        <f>Visangud!N3</f>
        <v>65</v>
      </c>
      <c r="O6" s="46">
        <f>Visangud!O3</f>
        <v>65</v>
      </c>
      <c r="P6" s="46">
        <f>Visangud!P3</f>
        <v>65</v>
      </c>
      <c r="Q6" s="46">
        <f>Visangud!Q3</f>
        <v>65</v>
      </c>
      <c r="R6" s="46">
        <f>Visangud!R3</f>
        <v>65</v>
      </c>
    </row>
    <row r="7" spans="1:18" ht="13.5" thickTop="1" x14ac:dyDescent="0.2">
      <c r="B7" s="25" t="s">
        <v>12</v>
      </c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x14ac:dyDescent="0.2">
      <c r="B8" s="1" t="s">
        <v>224</v>
      </c>
      <c r="C8" s="1"/>
    </row>
    <row r="9" spans="1:18" x14ac:dyDescent="0.2">
      <c r="B9" s="20" t="s">
        <v>2</v>
      </c>
      <c r="C9" s="20"/>
      <c r="D9" s="2" t="str">
        <f>[1]!juhe(D5,6)</f>
        <v>0,0331</v>
      </c>
      <c r="E9" s="2" t="str">
        <f>[1]!juhe(E5,6)</f>
        <v>0,0331</v>
      </c>
      <c r="F9" s="2" t="str">
        <f>[1]!juhe(F5,6)</f>
        <v>0,0331</v>
      </c>
      <c r="G9" s="2" t="str">
        <f>[1]!juhe(G5,6)</f>
        <v>0,0331</v>
      </c>
      <c r="H9" s="2" t="str">
        <f>[1]!juhe(H5,6)</f>
        <v>0,0331</v>
      </c>
      <c r="I9" s="2" t="str">
        <f>[1]!juhe(I5,6)</f>
        <v>0,0331</v>
      </c>
      <c r="J9" s="2" t="str">
        <f>[1]!juhe(J5,6)</f>
        <v>0,0331</v>
      </c>
      <c r="K9" s="2" t="str">
        <f>[1]!juhe(K5,6)</f>
        <v>0,0331</v>
      </c>
      <c r="L9" s="2" t="str">
        <f>[1]!juhe(L5,6)</f>
        <v>0,0331</v>
      </c>
      <c r="M9" s="2" t="str">
        <f>[1]!juhe(M5,6)</f>
        <v>0,0331</v>
      </c>
      <c r="N9" s="2" t="str">
        <f>[1]!juhe(N5,6)</f>
        <v>0,0331</v>
      </c>
      <c r="O9" s="2" t="str">
        <f>[1]!juhe(O5,6)</f>
        <v>0,0331</v>
      </c>
      <c r="P9" s="2" t="str">
        <f>[1]!juhe(P5,6)</f>
        <v>0,0331</v>
      </c>
      <c r="Q9" s="2" t="str">
        <f>[1]!juhe(Q5,6)</f>
        <v>0,0331</v>
      </c>
      <c r="R9" s="2" t="str">
        <f>[1]!juhe(R5,6)</f>
        <v>0,0331</v>
      </c>
    </row>
    <row r="10" spans="1:18" x14ac:dyDescent="0.2">
      <c r="B10" s="20" t="s">
        <v>5</v>
      </c>
      <c r="C10" s="20"/>
      <c r="D10" s="5">
        <f>[1]!Tuulekoormus_en(D$5,Qj,hj,zo,D$4,JaideJ,0)</f>
        <v>3.7561440951736635E-2</v>
      </c>
      <c r="E10" s="5">
        <f>[1]!Tuulekoormus_en(E$5,Qj,hj,zo,E$4,JaideJ,0)</f>
        <v>3.7594120783904415E-2</v>
      </c>
      <c r="F10" s="5">
        <f>[1]!Tuulekoormus_en(F$5,Qj,hj,zo,F$4,JaideJ,0)</f>
        <v>3.7621215563574013E-2</v>
      </c>
      <c r="G10" s="5">
        <f>[1]!Tuulekoormus_en(G$5,Qj,hj,zo,G$4,JaideJ,0)</f>
        <v>3.8475111836034283E-2</v>
      </c>
      <c r="H10" s="5">
        <f>[1]!Tuulekoormus_en(H$5,Qj,hj,zo,H$4,JaideJ,0)</f>
        <v>3.7714206377547452E-2</v>
      </c>
      <c r="I10" s="5">
        <f>[1]!Tuulekoormus_en(I$5,Qj,hj,zo,I$4,JaideJ,0)</f>
        <v>3.7785891532264478E-2</v>
      </c>
      <c r="J10" s="5">
        <f>[1]!Tuulekoormus_en(J$5,Qj,hj,zo,J$4,JaideJ,0)</f>
        <v>3.7911381927260575E-2</v>
      </c>
      <c r="K10" s="5">
        <f>[1]!Tuulekoormus_en(K$5,Qj,hj,zo,K$4,JaideJ,0)</f>
        <v>3.7374041589956455E-2</v>
      </c>
      <c r="L10" s="5">
        <f>[1]!Tuulekoormus_en(L$5,Qj,hj,zo,L$4,JaideJ,0)</f>
        <v>3.7909547280139171E-2</v>
      </c>
      <c r="M10" s="5">
        <f>[1]!Tuulekoormus_en(M$5,Qj,hj,zo,M$4,JaideJ,0)</f>
        <v>3.7397673072699054E-2</v>
      </c>
      <c r="N10" s="5">
        <f>[1]!Tuulekoormus_en(N$5,Qj,hj,zo,N$4,JaideJ,0)</f>
        <v>3.7439965216463027E-2</v>
      </c>
      <c r="O10" s="5">
        <f>[1]!Tuulekoormus_en(O$5,Qj,hj,zo,O$4,JaideJ,0)</f>
        <v>3.7918747909090937E-2</v>
      </c>
      <c r="P10" s="5">
        <f>[1]!Tuulekoormus_en(P$5,Qj,hj,zo,P$4,JaideJ,0)</f>
        <v>3.8396669661074467E-2</v>
      </c>
      <c r="Q10" s="5">
        <f>[1]!Tuulekoormus_en(Q$5,Qj,hj,zo,Q$4,JaideJ,0)</f>
        <v>3.8270526150207651E-2</v>
      </c>
      <c r="R10" s="5">
        <f>[1]!Tuulekoormus_en(R$5,Qj,hj,zo,R$4,JaideJ,0)</f>
        <v>3.7739601031073169E-2</v>
      </c>
    </row>
    <row r="11" spans="1:18" x14ac:dyDescent="0.2">
      <c r="B11" s="7" t="s">
        <v>0</v>
      </c>
      <c r="C11" s="7"/>
      <c r="D11" s="5">
        <f>[1]!Jaitekoormus_EN(D$5,JaideJ,hj)</f>
        <v>1.9826735480549376E-2</v>
      </c>
      <c r="E11" s="5">
        <f>[1]!Jaitekoormus_EN(E$5,JaideJ,hj)</f>
        <v>1.9826735480549376E-2</v>
      </c>
      <c r="F11" s="5">
        <f>[1]!Jaitekoormus_EN(F$5,JaideJ,hj)</f>
        <v>1.9826735480549376E-2</v>
      </c>
      <c r="G11" s="5">
        <f>[1]!Jaitekoormus_EN(G$5,JaideJ,hj)</f>
        <v>1.9826735480549376E-2</v>
      </c>
      <c r="H11" s="5">
        <f>[1]!Jaitekoormus_EN(H$5,JaideJ,hj)</f>
        <v>1.9826735480549376E-2</v>
      </c>
      <c r="I11" s="5">
        <f>[1]!Jaitekoormus_EN(I$5,JaideJ,hj)</f>
        <v>1.9826735480549376E-2</v>
      </c>
      <c r="J11" s="5">
        <f>[1]!Jaitekoormus_EN(J$5,JaideJ,hj)</f>
        <v>1.9826735480549376E-2</v>
      </c>
      <c r="K11" s="5">
        <f>[1]!Jaitekoormus_EN(K$5,JaideJ,hj)</f>
        <v>1.9826735480549376E-2</v>
      </c>
      <c r="L11" s="5">
        <f>[1]!Jaitekoormus_EN(L$5,JaideJ,hj)</f>
        <v>1.9826735480549376E-2</v>
      </c>
      <c r="M11" s="5">
        <f>[1]!Jaitekoormus_EN(M$5,JaideJ,hj)</f>
        <v>1.9826735480549376E-2</v>
      </c>
      <c r="N11" s="5">
        <f>[1]!Jaitekoormus_EN(N$5,JaideJ,hj)</f>
        <v>1.9826735480549376E-2</v>
      </c>
      <c r="O11" s="5">
        <f>[1]!Jaitekoormus_EN(O$5,JaideJ,hj)</f>
        <v>1.9826735480549376E-2</v>
      </c>
      <c r="P11" s="5">
        <f>[1]!Jaitekoormus_EN(P$5,JaideJ,hj)</f>
        <v>1.9826735480549376E-2</v>
      </c>
      <c r="Q11" s="5">
        <f>[1]!Jaitekoormus_EN(Q$5,JaideJ,hj)</f>
        <v>1.9826735480549376E-2</v>
      </c>
      <c r="R11" s="5">
        <f>[1]!Jaitekoormus_EN(R$5,JaideJ,hj)</f>
        <v>1.9826735480549376E-2</v>
      </c>
    </row>
    <row r="12" spans="1:18" x14ac:dyDescent="0.2">
      <c r="B12" s="1"/>
      <c r="C12" s="1"/>
    </row>
    <row r="13" spans="1:18" x14ac:dyDescent="0.2">
      <c r="B13" s="1" t="s">
        <v>9</v>
      </c>
      <c r="C13" s="1"/>
    </row>
    <row r="14" spans="1:18" x14ac:dyDescent="0.2">
      <c r="B14" s="2" t="s">
        <v>10</v>
      </c>
      <c r="C14" s="2"/>
      <c r="D14" s="21">
        <f t="shared" ref="D14:K14" si="0">(MATCH(S0,D26:D104,0)+2)/4</f>
        <v>5</v>
      </c>
      <c r="E14" s="21">
        <f t="shared" si="0"/>
        <v>5</v>
      </c>
      <c r="F14" s="21">
        <f t="shared" si="0"/>
        <v>5</v>
      </c>
      <c r="G14" s="21">
        <f t="shared" si="0"/>
        <v>5</v>
      </c>
      <c r="H14" s="21">
        <f t="shared" si="0"/>
        <v>5</v>
      </c>
      <c r="I14" s="21">
        <f t="shared" si="0"/>
        <v>5</v>
      </c>
      <c r="J14" s="21">
        <f t="shared" si="0"/>
        <v>5</v>
      </c>
      <c r="K14" s="21">
        <f t="shared" si="0"/>
        <v>5</v>
      </c>
      <c r="L14" s="21">
        <f t="shared" ref="L14:Q14" si="1">(MATCH(S0,L26:L104,0)+2)/4</f>
        <v>5</v>
      </c>
      <c r="M14" s="21">
        <f t="shared" si="1"/>
        <v>5</v>
      </c>
      <c r="N14" s="21">
        <f t="shared" si="1"/>
        <v>5</v>
      </c>
      <c r="O14" s="21">
        <f t="shared" si="1"/>
        <v>5</v>
      </c>
      <c r="P14" s="21">
        <f t="shared" si="1"/>
        <v>5</v>
      </c>
      <c r="Q14" s="21">
        <f t="shared" si="1"/>
        <v>5</v>
      </c>
      <c r="R14" s="21">
        <f t="shared" ref="R14" si="2">(MATCH(S0,R26:R104,0)+2)/4</f>
        <v>5</v>
      </c>
    </row>
    <row r="15" spans="1:18" x14ac:dyDescent="0.2">
      <c r="B15" s="2" t="s">
        <v>21</v>
      </c>
      <c r="C15" s="2"/>
      <c r="D15" s="5">
        <f t="shared" ref="D15:K15" si="3">INDEX(D26:D104,4*D14-3,1)</f>
        <v>6.7896360407287637E-2</v>
      </c>
      <c r="E15" s="5">
        <f t="shared" si="3"/>
        <v>6.7907977822825316E-2</v>
      </c>
      <c r="F15" s="5">
        <f t="shared" si="3"/>
        <v>6.7917615949678378E-2</v>
      </c>
      <c r="G15" s="5">
        <f t="shared" si="3"/>
        <v>6.8224207003285992E-2</v>
      </c>
      <c r="H15" s="5">
        <f t="shared" si="3"/>
        <v>6.7950736930433617E-2</v>
      </c>
      <c r="I15" s="5">
        <f t="shared" si="3"/>
        <v>6.7976314134668453E-2</v>
      </c>
      <c r="J15" s="5">
        <f t="shared" si="3"/>
        <v>6.8021182684483483E-2</v>
      </c>
      <c r="K15" s="5">
        <f t="shared" si="3"/>
        <v>6.7829898322161894E-2</v>
      </c>
      <c r="L15" s="5">
        <f t="shared" ref="L15:Q15" si="4">INDEX(L26:L104,4*L14-3,1)</f>
        <v>6.8020525856278907E-2</v>
      </c>
      <c r="M15" s="5">
        <f t="shared" si="4"/>
        <v>6.7838264605956933E-2</v>
      </c>
      <c r="N15" s="5">
        <f t="shared" si="4"/>
        <v>6.7853247969413014E-2</v>
      </c>
      <c r="O15" s="5">
        <f t="shared" si="4"/>
        <v>6.8023820060628501E-2</v>
      </c>
      <c r="P15" s="5">
        <f t="shared" si="4"/>
        <v>6.8195813388419929E-2</v>
      </c>
      <c r="Q15" s="5">
        <f t="shared" si="4"/>
        <v>6.8150250199369197E-2</v>
      </c>
      <c r="R15" s="5">
        <f t="shared" ref="R15" si="5">INDEX(R26:R104,4*R14-3,1)</f>
        <v>6.7959793267310484E-2</v>
      </c>
    </row>
    <row r="16" spans="1:18" x14ac:dyDescent="0.2">
      <c r="B16" s="2" t="s">
        <v>20</v>
      </c>
      <c r="C16" s="2"/>
      <c r="D16" s="2">
        <f>VLOOKUP(D14,Lähteandmed!$A24:$G81,3)</f>
        <v>-5</v>
      </c>
      <c r="E16" s="2">
        <f>VLOOKUP(E14,Lähteandmed!$A24:$G81,3)</f>
        <v>-5</v>
      </c>
      <c r="F16" s="2">
        <f>VLOOKUP(F14,Lähteandmed!$A24:$G81,3)</f>
        <v>-5</v>
      </c>
      <c r="G16" s="2">
        <f>VLOOKUP(G14,Lähteandmed!$A24:$G81,3)</f>
        <v>-5</v>
      </c>
      <c r="H16" s="2">
        <f>VLOOKUP(H14,Lähteandmed!$A24:$G81,3)</f>
        <v>-5</v>
      </c>
      <c r="I16" s="2">
        <f>VLOOKUP(I14,Lähteandmed!$A24:$G81,3)</f>
        <v>-5</v>
      </c>
      <c r="J16" s="2">
        <f>VLOOKUP(J14,Lähteandmed!$A24:$G81,3)</f>
        <v>-5</v>
      </c>
      <c r="K16" s="2">
        <f>VLOOKUP(K14,Lähteandmed!$A24:$G81,3)</f>
        <v>-5</v>
      </c>
      <c r="L16" s="2">
        <f>VLOOKUP(L14,Lähteandmed!$A24:$G81,3)</f>
        <v>-5</v>
      </c>
      <c r="M16" s="2">
        <f>VLOOKUP(M14,Lähteandmed!$A24:$G81,3)</f>
        <v>-5</v>
      </c>
      <c r="N16" s="2">
        <f>VLOOKUP(N14,Lähteandmed!$A24:$G81,3)</f>
        <v>-5</v>
      </c>
      <c r="O16" s="2">
        <f>VLOOKUP(O14,Lähteandmed!$A24:$G81,3)</f>
        <v>-5</v>
      </c>
      <c r="P16" s="2">
        <f>VLOOKUP(P14,Lähteandmed!$A24:$G81,3)</f>
        <v>-5</v>
      </c>
      <c r="Q16" s="2">
        <f>VLOOKUP(Q14,Lähteandmed!$A24:$G81,3)</f>
        <v>-5</v>
      </c>
      <c r="R16" s="2">
        <f>VLOOKUP(R14,Lähteandmed!$A24:$G81,3)</f>
        <v>-5</v>
      </c>
    </row>
    <row r="17" spans="1:18" ht="13.5" thickBot="1" x14ac:dyDescent="0.25">
      <c r="B17" s="23" t="s">
        <v>22</v>
      </c>
      <c r="C17" s="23"/>
      <c r="D17" s="24">
        <f t="shared" ref="D17:K17" si="6">MAX(D27,D31,D35,D39,D43,D47,D51,D55,D59,D63,D67,D71,D75,D79,D83,D87,D91,D95,D99,D103)</f>
        <v>118.66408586502075</v>
      </c>
      <c r="E17" s="24">
        <f t="shared" si="6"/>
        <v>118.519127368927</v>
      </c>
      <c r="F17" s="24">
        <f t="shared" si="6"/>
        <v>118.39812994003296</v>
      </c>
      <c r="G17" s="24">
        <f t="shared" si="6"/>
        <v>114.2459511756897</v>
      </c>
      <c r="H17" s="24">
        <f t="shared" si="6"/>
        <v>117.9773211479187</v>
      </c>
      <c r="I17" s="24">
        <f t="shared" si="6"/>
        <v>117.64734983444214</v>
      </c>
      <c r="J17" s="24">
        <f t="shared" si="6"/>
        <v>117.05809831619263</v>
      </c>
      <c r="K17" s="24">
        <f t="shared" si="6"/>
        <v>119.47458982467651</v>
      </c>
      <c r="L17" s="24">
        <f t="shared" ref="L17:Q17" si="7">MAX(L27,L31,L35,L39,L43,L47,L51,L55,L59,L63,L67,L71,L75,L79,L83,L87,L91,L95,L99,L103)</f>
        <v>117.06680059432983</v>
      </c>
      <c r="M17" s="24">
        <f t="shared" si="7"/>
        <v>119.37433481216431</v>
      </c>
      <c r="N17" s="24">
        <f t="shared" si="7"/>
        <v>119.19349431991577</v>
      </c>
      <c r="O17" s="24">
        <f t="shared" si="7"/>
        <v>117.0230507850647</v>
      </c>
      <c r="P17" s="24">
        <f t="shared" si="7"/>
        <v>114.65197801589966</v>
      </c>
      <c r="Q17" s="24">
        <f t="shared" si="7"/>
        <v>115.29558897018433</v>
      </c>
      <c r="R17" s="24">
        <f t="shared" ref="R17" si="8">MAX(R27,R31,R35,R39,R43,R47,R51,R55,R59,R63,R67,R71,R75,R79,R83,R87,R91,R95,R99,R103)</f>
        <v>117.86097288131714</v>
      </c>
    </row>
    <row r="18" spans="1:18" ht="13.5" thickTop="1" x14ac:dyDescent="0.2">
      <c r="B18" s="1" t="s">
        <v>42</v>
      </c>
      <c r="C18" s="1"/>
    </row>
    <row r="19" spans="1:18" x14ac:dyDescent="0.2">
      <c r="B19" s="2" t="s">
        <v>10</v>
      </c>
      <c r="C19" s="2"/>
      <c r="D19" s="21">
        <f t="shared" ref="D19:K19" si="9">(MATCH(D22,D26:D104,0)+1)/4</f>
        <v>12</v>
      </c>
      <c r="E19" s="21">
        <f t="shared" si="9"/>
        <v>12</v>
      </c>
      <c r="F19" s="21">
        <f t="shared" si="9"/>
        <v>12</v>
      </c>
      <c r="G19" s="21">
        <f t="shared" si="9"/>
        <v>12</v>
      </c>
      <c r="H19" s="21">
        <f t="shared" si="9"/>
        <v>12</v>
      </c>
      <c r="I19" s="21">
        <f t="shared" si="9"/>
        <v>12</v>
      </c>
      <c r="J19" s="21">
        <f t="shared" si="9"/>
        <v>12</v>
      </c>
      <c r="K19" s="21">
        <f t="shared" si="9"/>
        <v>12</v>
      </c>
      <c r="L19" s="21">
        <f t="shared" ref="L19:Q19" si="10">(MATCH(L22,L26:L104,0)+1)/4</f>
        <v>12</v>
      </c>
      <c r="M19" s="21">
        <f t="shared" si="10"/>
        <v>12</v>
      </c>
      <c r="N19" s="21">
        <f t="shared" si="10"/>
        <v>12</v>
      </c>
      <c r="O19" s="21">
        <f t="shared" si="10"/>
        <v>12</v>
      </c>
      <c r="P19" s="21">
        <f t="shared" si="10"/>
        <v>12</v>
      </c>
      <c r="Q19" s="21">
        <f t="shared" si="10"/>
        <v>12</v>
      </c>
      <c r="R19" s="21">
        <f t="shared" ref="R19" si="11">(MATCH(R22,R26:R104,0)+1)/4</f>
        <v>12</v>
      </c>
    </row>
    <row r="20" spans="1:18" x14ac:dyDescent="0.2">
      <c r="B20" s="2" t="s">
        <v>21</v>
      </c>
      <c r="C20" s="2"/>
      <c r="D20" s="5">
        <f t="shared" ref="D20:K20" si="12">INDEX(D26:D104,4*D19-3,1)</f>
        <v>3.3099999999999997E-2</v>
      </c>
      <c r="E20" s="5">
        <f t="shared" si="12"/>
        <v>3.3099999999999997E-2</v>
      </c>
      <c r="F20" s="5">
        <f t="shared" si="12"/>
        <v>3.3099999999999997E-2</v>
      </c>
      <c r="G20" s="5">
        <f t="shared" si="12"/>
        <v>3.3099999999999997E-2</v>
      </c>
      <c r="H20" s="5">
        <f t="shared" si="12"/>
        <v>3.3099999999999997E-2</v>
      </c>
      <c r="I20" s="5">
        <f t="shared" si="12"/>
        <v>3.3099999999999997E-2</v>
      </c>
      <c r="J20" s="5">
        <f t="shared" si="12"/>
        <v>3.3099999999999997E-2</v>
      </c>
      <c r="K20" s="5">
        <f t="shared" si="12"/>
        <v>3.3099999999999997E-2</v>
      </c>
      <c r="L20" s="5">
        <f t="shared" ref="L20:Q20" si="13">INDEX(L26:L104,4*L19-3,1)</f>
        <v>3.3099999999999997E-2</v>
      </c>
      <c r="M20" s="5">
        <f t="shared" si="13"/>
        <v>3.3099999999999997E-2</v>
      </c>
      <c r="N20" s="5">
        <f t="shared" si="13"/>
        <v>3.3099999999999997E-2</v>
      </c>
      <c r="O20" s="5">
        <f t="shared" si="13"/>
        <v>3.3099999999999997E-2</v>
      </c>
      <c r="P20" s="5">
        <f t="shared" si="13"/>
        <v>3.3099999999999997E-2</v>
      </c>
      <c r="Q20" s="5">
        <f t="shared" si="13"/>
        <v>3.3099999999999997E-2</v>
      </c>
      <c r="R20" s="5">
        <f t="shared" ref="R20" si="14">INDEX(R26:R104,4*R19-3,1)</f>
        <v>3.3099999999999997E-2</v>
      </c>
    </row>
    <row r="21" spans="1:18" x14ac:dyDescent="0.2">
      <c r="B21" s="2" t="s">
        <v>20</v>
      </c>
      <c r="C21" s="2"/>
      <c r="D21" s="2">
        <f>VLOOKUP(D19,Lähteandmed!$A29:$G86,3)</f>
        <v>80</v>
      </c>
      <c r="E21" s="2">
        <f>VLOOKUP(E19,Lähteandmed!$A29:$G86,3)</f>
        <v>80</v>
      </c>
      <c r="F21" s="2">
        <f>VLOOKUP(F19,Lähteandmed!$A29:$G86,3)</f>
        <v>80</v>
      </c>
      <c r="G21" s="2">
        <f>VLOOKUP(G19,Lähteandmed!$A29:$G86,3)</f>
        <v>80</v>
      </c>
      <c r="H21" s="2">
        <f>VLOOKUP(H19,Lähteandmed!$A29:$G86,3)</f>
        <v>80</v>
      </c>
      <c r="I21" s="2">
        <f>VLOOKUP(I19,Lähteandmed!$A29:$G86,3)</f>
        <v>80</v>
      </c>
      <c r="J21" s="2">
        <f>VLOOKUP(J19,Lähteandmed!$A29:$G86,3)</f>
        <v>80</v>
      </c>
      <c r="K21" s="2">
        <f>VLOOKUP(K19,Lähteandmed!$A29:$G86,3)</f>
        <v>80</v>
      </c>
      <c r="L21" s="2">
        <f>VLOOKUP(L19,Lähteandmed!$A29:$G86,3)</f>
        <v>80</v>
      </c>
      <c r="M21" s="2">
        <f>VLOOKUP(M19,Lähteandmed!$A29:$G86,3)</f>
        <v>80</v>
      </c>
      <c r="N21" s="2">
        <f>VLOOKUP(N19,Lähteandmed!$A29:$G86,3)</f>
        <v>80</v>
      </c>
      <c r="O21" s="2">
        <f>VLOOKUP(O19,Lähteandmed!$A29:$G86,3)</f>
        <v>80</v>
      </c>
      <c r="P21" s="2">
        <f>VLOOKUP(P19,Lähteandmed!$A29:$G86,3)</f>
        <v>80</v>
      </c>
      <c r="Q21" s="2">
        <f>VLOOKUP(Q19,Lähteandmed!$A29:$G86,3)</f>
        <v>80</v>
      </c>
      <c r="R21" s="2">
        <f>VLOOKUP(R19,Lähteandmed!$A29:$G86,3)</f>
        <v>80</v>
      </c>
    </row>
    <row r="22" spans="1:18" x14ac:dyDescent="0.2">
      <c r="B22" s="52" t="s">
        <v>43</v>
      </c>
      <c r="C22" s="52"/>
      <c r="D22" s="53">
        <f t="shared" ref="D22:K22" si="15">MAX(D28,D32,D36,D40,D44,D48,D52,D56,D60,D64,D68,D72,D76,D80,D84,D88,D92,D96,D100,D104)</f>
        <v>16.029608856508695</v>
      </c>
      <c r="E22" s="53">
        <f t="shared" si="15"/>
        <v>15.804787669399996</v>
      </c>
      <c r="F22" s="53">
        <f t="shared" si="15"/>
        <v>15.621096631273451</v>
      </c>
      <c r="G22" s="53">
        <f t="shared" si="15"/>
        <v>10.903719268910114</v>
      </c>
      <c r="H22" s="53">
        <f t="shared" si="15"/>
        <v>15.008661990388251</v>
      </c>
      <c r="I22" s="53">
        <f t="shared" si="15"/>
        <v>14.555052288920354</v>
      </c>
      <c r="J22" s="53">
        <f t="shared" si="15"/>
        <v>13.797737331000143</v>
      </c>
      <c r="K22" s="53">
        <f t="shared" si="15"/>
        <v>17.39025468100451</v>
      </c>
      <c r="L22" s="53">
        <f t="shared" ref="L22:Q22" si="16">MAX(L28,L32,L36,L40,L44,L48,L52,L56,L60,L64,L68,L72,L76,L80,L84,L88,L92,L96,L100,L104)</f>
        <v>13.808483268897493</v>
      </c>
      <c r="M22" s="53">
        <f t="shared" si="16"/>
        <v>17.211724482353432</v>
      </c>
      <c r="N22" s="53">
        <f t="shared" si="16"/>
        <v>16.897337619280027</v>
      </c>
      <c r="O22" s="53">
        <f t="shared" si="16"/>
        <v>13.754711307889856</v>
      </c>
      <c r="P22" s="53">
        <f t="shared" si="16"/>
        <v>11.261686188380514</v>
      </c>
      <c r="Q22" s="53">
        <f t="shared" si="16"/>
        <v>11.865786620088336</v>
      </c>
      <c r="R22" s="53">
        <f t="shared" ref="R22" si="17">MAX(R28,R32,R36,R40,R44,R48,R52,R56,R60,R64,R68,R72,R76,R80,R84,R88,R92,R96,R100,R104)</f>
        <v>14.846169495852902</v>
      </c>
    </row>
    <row r="23" spans="1:18" ht="13.5" thickBot="1" x14ac:dyDescent="0.25">
      <c r="B23" s="54" t="s">
        <v>49</v>
      </c>
      <c r="C23" s="54"/>
      <c r="D23" s="55">
        <f t="shared" ref="D23:K23" si="18">D22/D4^2*1000000</f>
        <v>80.15127283476069</v>
      </c>
      <c r="E23" s="55">
        <f t="shared" si="18"/>
        <v>80.379401135478062</v>
      </c>
      <c r="F23" s="55">
        <f t="shared" si="18"/>
        <v>80.570658266312719</v>
      </c>
      <c r="G23" s="55">
        <f t="shared" si="18"/>
        <v>87.614376103608905</v>
      </c>
      <c r="H23" s="55">
        <f t="shared" si="18"/>
        <v>81.240915075669164</v>
      </c>
      <c r="I23" s="55">
        <f t="shared" si="18"/>
        <v>81.77302549350145</v>
      </c>
      <c r="J23" s="55">
        <f t="shared" si="18"/>
        <v>82.736961095027013</v>
      </c>
      <c r="K23" s="55">
        <f t="shared" si="18"/>
        <v>78.893077735258927</v>
      </c>
      <c r="L23" s="55">
        <f t="shared" ref="L23:Q23" si="19">L22/L4^2*1000000</f>
        <v>82.722565868110053</v>
      </c>
      <c r="M23" s="55">
        <f t="shared" si="19"/>
        <v>79.0470624273336</v>
      </c>
      <c r="N23" s="55">
        <f t="shared" si="19"/>
        <v>79.326008806162719</v>
      </c>
      <c r="O23" s="55">
        <f t="shared" si="19"/>
        <v>82.794987148215966</v>
      </c>
      <c r="P23" s="55">
        <f t="shared" si="19"/>
        <v>86.879457914939991</v>
      </c>
      <c r="Q23" s="55">
        <f t="shared" si="19"/>
        <v>85.736856393667779</v>
      </c>
      <c r="R23" s="55">
        <f t="shared" ref="R23" si="20">R22/R4^2*1000000</f>
        <v>81.427892469157669</v>
      </c>
    </row>
    <row r="24" spans="1:18" ht="13.5" thickTop="1" x14ac:dyDescent="0.2">
      <c r="B24" s="52"/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</row>
    <row r="25" spans="1:18" x14ac:dyDescent="0.2">
      <c r="B25" s="1" t="s">
        <v>6</v>
      </c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38.25" x14ac:dyDescent="0.2">
      <c r="A26" s="172">
        <v>1</v>
      </c>
      <c r="B26" s="173" t="str">
        <f>Lähteandmed!B24</f>
        <v>Tuule piirkiirus</v>
      </c>
      <c r="C26" s="76" t="s">
        <v>222</v>
      </c>
      <c r="D26" s="6">
        <f>SQRT((kaalutegur R_1*[1]!juhe(D5,6)+jaitetegur R_1*[1]!Jaitekoormus_EN(D$5,JaideJ,hj))^2+(tuuletegur R_1*[1]!Tuulekoormus_en(D$5,Qj,hj,zo,D$4,JaideJ,jaitetegur R_1))^2)</f>
        <v>6.2136134566665502E-2</v>
      </c>
      <c r="E26" s="6">
        <f>SQRT((kaalutegur R_1*[1]!juhe(E5,6)+jaitetegur R_1*[1]!Jaitekoormus_EN(E$5,JaideJ,hj))^2+(tuuletegur R_1*[1]!Tuulekoormus_en(E$5,Qj,hj,zo,E$4,JaideJ,jaitetegur R_1))^2)</f>
        <v>6.2174859214388215E-2</v>
      </c>
      <c r="F26" s="6">
        <f>SQRT((kaalutegur R_1*[1]!juhe(F5,6)+jaitetegur R_1*[1]!Jaitekoormus_EN(F$5,JaideJ,hj))^2+(tuuletegur R_1*[1]!Tuulekoormus_en(F$5,Qj,hj,zo,F$4,JaideJ,jaitetegur R_1))^2)</f>
        <v>6.2206972973635123E-2</v>
      </c>
      <c r="G26" s="6">
        <f>SQRT((kaalutegur R_1*[1]!juhe(G5,6)+jaitetegur R_1*[1]!Jaitekoormus_EN(G$5,JaideJ,hj))^2+(tuuletegur R_1*[1]!Tuulekoormus_en(G$5,Qj,hj,zo,G$4,JaideJ,jaitetegur R_1))^2)</f>
        <v>6.3222346463563631E-2</v>
      </c>
      <c r="H26" s="6">
        <f>SQRT((kaalutegur R_1*[1]!juhe(H5,6)+jaitetegur R_1*[1]!Jaitekoormus_EN(H$5,JaideJ,hj))^2+(tuuletegur R_1*[1]!Tuulekoormus_en(H$5,Qj,hj,zo,H$4,JaideJ,jaitetegur R_1))^2)</f>
        <v>6.231723895415258E-2</v>
      </c>
      <c r="I26" s="6">
        <f>SQRT((kaalutegur R_1*[1]!juhe(I5,6)+jaitetegur R_1*[1]!Jaitekoormus_EN(I$5,JaideJ,hj))^2+(tuuletegur R_1*[1]!Tuulekoormus_en(I$5,Qj,hj,zo,I$4,JaideJ,jaitetegur R_1))^2)</f>
        <v>6.2402293658331102E-2</v>
      </c>
      <c r="J26" s="6">
        <f>SQRT((kaalutegur R_1*[1]!juhe(J5,6)+jaitetegur R_1*[1]!Jaitekoormus_EN(J$5,JaideJ,hj))^2+(tuuletegur R_1*[1]!Tuulekoormus_en(J$5,Qj,hj,zo,J$4,JaideJ,jaitetegur R_1))^2)</f>
        <v>6.2551297701037789E-2</v>
      </c>
      <c r="K26" s="6">
        <f>SQRT((kaalutegur R_1*[1]!juhe(K5,6)+jaitetegur R_1*[1]!Jaitekoormus_EN(K$5,JaideJ,hj))^2+(tuuletegur R_1*[1]!Tuulekoormus_en(K$5,Qj,hj,zo,K$4,JaideJ,jaitetegur R_1))^2)</f>
        <v>6.1914256921527189E-2</v>
      </c>
      <c r="L26" s="6">
        <f>SQRT((kaalutegur R_1*[1]!juhe(L5,6)+jaitetegur R_1*[1]!Jaitekoormus_EN(L$5,JaideJ,hj))^2+(tuuletegur R_1*[1]!Tuulekoormus_en(L$5,Qj,hj,zo,L$4,JaideJ,jaitetegur R_1))^2)</f>
        <v>6.254911829091446E-2</v>
      </c>
      <c r="M26" s="6">
        <f>SQRT((kaalutegur R_1*[1]!juhe(M5,6)+jaitetegur R_1*[1]!Jaitekoormus_EN(M$5,JaideJ,hj))^2+(tuuletegur R_1*[1]!Tuulekoormus_en(M$5,Qj,hj,zo,M$4,JaideJ,jaitetegur R_1))^2)</f>
        <v>6.1942218756312409E-2</v>
      </c>
      <c r="N26" s="6">
        <f>SQRT((kaalutegur R_1*[1]!juhe(N5,6)+jaitetegur R_1*[1]!Jaitekoormus_EN(N$5,JaideJ,hj))^2+(tuuletegur R_1*[1]!Tuulekoormus_en(N$5,Qj,hj,zo,N$4,JaideJ,jaitetegur R_1))^2)</f>
        <v>6.1992273316950751E-2</v>
      </c>
      <c r="O26" s="6">
        <f>SQRT((kaalutegur R_1*[1]!juhe(O5,6)+jaitetegur R_1*[1]!Jaitekoormus_EN(O$5,JaideJ,hj))^2+(tuuletegur R_1*[1]!Tuulekoormus_en(O$5,Qj,hj,zo,O$4,JaideJ,jaitetegur R_1))^2)</f>
        <v>6.2560048179861952E-2</v>
      </c>
      <c r="P26" s="6">
        <f>SQRT((kaalutegur R_1*[1]!juhe(P5,6)+jaitetegur R_1*[1]!Jaitekoormus_EN(P$5,JaideJ,hj))^2+(tuuletegur R_1*[1]!Tuulekoormus_en(P$5,Qj,hj,zo,P$4,JaideJ,jaitetegur R_1))^2)</f>
        <v>6.3128807310774415E-2</v>
      </c>
      <c r="Q26" s="6">
        <f>SQRT((kaalutegur R_1*[1]!juhe(Q5,6)+jaitetegur R_1*[1]!Jaitekoormus_EN(Q$5,JaideJ,hj))^2+(tuuletegur R_1*[1]!Tuulekoormus_en(Q$5,Qj,hj,zo,Q$4,JaideJ,jaitetegur R_1))^2)</f>
        <v>6.2978496463117525E-2</v>
      </c>
      <c r="R26" s="6">
        <f>SQRT((kaalutegur R_1*[1]!juhe(R5,6)+jaitetegur R_1*[1]!Jaitekoormus_EN(R$5,JaideJ,hj))^2+(tuuletegur R_1*[1]!Tuulekoormus_en(R$5,Qj,hj,zo,R$4,JaideJ,jaitetegur R_1))^2)</f>
        <v>6.2347364599714836E-2</v>
      </c>
    </row>
    <row r="27" spans="1:18" x14ac:dyDescent="0.2">
      <c r="A27" s="172"/>
      <c r="B27" s="173"/>
      <c r="C27" s="76" t="s">
        <v>104</v>
      </c>
      <c r="D27" s="3">
        <f>[1]!Olekuvorrand(D$4,D$5,D$6,5,D$9,Lähteandmed!$C24,D26)</f>
        <v>110.8672022819519</v>
      </c>
      <c r="E27" s="3">
        <f>[1]!Olekuvorrand(E$4,E$5,E$6,5,E$9,Lähteandmed!$C24,E26)</f>
        <v>110.79353094100952</v>
      </c>
      <c r="F27" s="3">
        <f>[1]!Olekuvorrand(F$4,F$5,F$6,5,F$9,Lähteandmed!$C24,F26)</f>
        <v>110.73154211044312</v>
      </c>
      <c r="G27" s="3">
        <f>[1]!Olekuvorrand(G$4,G$5,G$6,5,G$9,Lähteandmed!$C24,G26)</f>
        <v>108.34890604019165</v>
      </c>
      <c r="H27" s="3">
        <f>[1]!Olekuvorrand(H$4,H$5,H$6,5,H$9,Lähteandmed!$C24,H26)</f>
        <v>110.51195859909058</v>
      </c>
      <c r="I27" s="3">
        <f>[1]!Olekuvorrand(I$4,I$5,I$6,5,I$9,Lähteandmed!$C24,I26)</f>
        <v>110.33588647842407</v>
      </c>
      <c r="J27" s="3">
        <f>[1]!Olekuvorrand(J$4,J$5,J$6,5,J$9,Lähteandmed!$C24,J26)</f>
        <v>110.01318693161011</v>
      </c>
      <c r="K27" s="3">
        <f>[1]!Olekuvorrand(K$4,K$5,K$6,5,K$9,Lähteandmed!$C24,K26)</f>
        <v>111.26512289047241</v>
      </c>
      <c r="L27" s="3">
        <f>[1]!Olekuvorrand(L$4,L$5,L$6,5,L$9,Lähteandmed!$C24,L26)</f>
        <v>110.01795530319214</v>
      </c>
      <c r="M27" s="3">
        <f>[1]!Olekuvorrand(M$4,M$5,M$6,5,M$9,Lähteandmed!$C24,M26)</f>
        <v>111.217200756073</v>
      </c>
      <c r="N27" s="3">
        <f>[1]!Olekuvorrand(N$4,N$5,N$6,5,N$9,Lähteandmed!$C24,N26)</f>
        <v>111.12993955612183</v>
      </c>
      <c r="O27" s="3">
        <f>[1]!Olekuvorrand(O$4,O$5,O$6,5,O$9,Lähteandmed!$C24,O26)</f>
        <v>109.99363660812378</v>
      </c>
      <c r="P27" s="3">
        <f>[1]!Olekuvorrand(P$4,P$5,P$6,5,P$9,Lähteandmed!$C24,P26)</f>
        <v>108.60055685043335</v>
      </c>
      <c r="Q27" s="3">
        <f>[1]!Olekuvorrand(Q$4,Q$5,Q$6,5,Q$9,Lähteandmed!$C24,Q26)</f>
        <v>108.99204015731812</v>
      </c>
      <c r="R27" s="3">
        <f>[1]!Olekuvorrand(R$4,R$5,R$6,5,R$9,Lähteandmed!$C24,R26)</f>
        <v>110.45032739639282</v>
      </c>
    </row>
    <row r="28" spans="1:18" x14ac:dyDescent="0.2">
      <c r="A28" s="42"/>
      <c r="B28" s="173"/>
      <c r="C28" s="76" t="s">
        <v>105</v>
      </c>
      <c r="D28" s="3">
        <f>[1]!ripe(D27,D$9+Lähteandmed!$E24*D$11,D$4,0)</f>
        <v>7.4635839153498402</v>
      </c>
      <c r="E28" s="3">
        <f>[1]!ripe(E27,E$9+Lähteandmed!$E24*D$11,E$4,0)</f>
        <v>7.3428981255619901</v>
      </c>
      <c r="F28" s="3">
        <f>[1]!ripe(F27,F$9+Lähteandmed!$E24*D$11,F$4,0)</f>
        <v>7.2443807128505746</v>
      </c>
      <c r="G28" s="3">
        <f>[1]!ripe(G27,G$9+Lähteandmed!$E24*D$11,G$4,0)</f>
        <v>4.7523975658432986</v>
      </c>
      <c r="H28" s="3">
        <f>[1]!ripe(H27,H$9+Lähteandmed!$E24*D$11,H$4,0)</f>
        <v>6.916651615409509</v>
      </c>
      <c r="I28" s="3">
        <f>[1]!ripe(I27,I$9+Lähteandmed!$E24*D$11,I$4,0)</f>
        <v>6.6745950456049128</v>
      </c>
      <c r="J28" s="3">
        <f>[1]!ripe(J27,J$9+Lähteandmed!$E24*D$11,J$4,0)</f>
        <v>6.271935286080355</v>
      </c>
      <c r="K28" s="3">
        <f>[1]!ripe(K27,K$9+Lähteandmed!$E24*D$11,K$4,0)</f>
        <v>8.1968313262093115</v>
      </c>
      <c r="L28" s="3">
        <f>[1]!ripe(L27,L$9+Lähteandmed!$E24*D$11,L$4,0)</f>
        <v>6.2776401722723127</v>
      </c>
      <c r="M28" s="3">
        <f>[1]!ripe(M27,M$9+Lähteandmed!$E24*D$11,M$4,0)</f>
        <v>8.100367024355366</v>
      </c>
      <c r="N28" s="3">
        <f>[1]!ripe(N27,N$9+Lähteandmed!$E24*D$11,N$4,0)</f>
        <v>7.930665023197581</v>
      </c>
      <c r="O28" s="3">
        <f>[1]!ripe(O27,O$9+Lähteandmed!$E24*D$11,O$4,0)</f>
        <v>6.2491058699835831</v>
      </c>
      <c r="P28" s="3">
        <f>[1]!ripe(P27,P$9+Lähteandmed!$E24*D$11,P$4,0)</f>
        <v>4.9384683364121367</v>
      </c>
      <c r="Q28" s="3">
        <f>[1]!ripe(Q27,Q$9+Lähteandmed!$E24*D$11,Q$4,0)</f>
        <v>5.2537838762191598</v>
      </c>
      <c r="R28" s="3">
        <f>[1]!ripe(R27,R$9+Lähteandmed!$E24*D$11,R$4,0)</f>
        <v>6.829866570173901</v>
      </c>
    </row>
    <row r="29" spans="1:18" x14ac:dyDescent="0.2">
      <c r="A29" s="42"/>
      <c r="B29" s="173"/>
      <c r="C29" s="76" t="s">
        <v>49</v>
      </c>
      <c r="D29" s="50">
        <f t="shared" ref="D29:K29" si="21">D28/D$4^2*1000000</f>
        <v>37.319422830547467</v>
      </c>
      <c r="E29" s="50">
        <f t="shared" si="21"/>
        <v>37.344238105408465</v>
      </c>
      <c r="F29" s="50">
        <f t="shared" si="21"/>
        <v>37.365143852808238</v>
      </c>
      <c r="G29" s="50">
        <f t="shared" si="21"/>
        <v>38.186818411117216</v>
      </c>
      <c r="H29" s="50">
        <f t="shared" si="21"/>
        <v>37.439387125603325</v>
      </c>
      <c r="I29" s="50">
        <f t="shared" si="21"/>
        <v>37.499132259286085</v>
      </c>
      <c r="J29" s="50">
        <f t="shared" si="21"/>
        <v>37.609127736405675</v>
      </c>
      <c r="K29" s="50">
        <f t="shared" si="21"/>
        <v>37.185956322295958</v>
      </c>
      <c r="L29" s="50">
        <f t="shared" ref="L29:Q29" si="22">L28/L$4^2*1000000</f>
        <v>37.607497690696967</v>
      </c>
      <c r="M29" s="50">
        <f t="shared" si="22"/>
        <v>37.201979297020493</v>
      </c>
      <c r="N29" s="50">
        <f t="shared" si="22"/>
        <v>37.231190951116439</v>
      </c>
      <c r="O29" s="50">
        <f t="shared" si="22"/>
        <v>37.615812401409563</v>
      </c>
      <c r="P29" s="50">
        <f t="shared" si="22"/>
        <v>38.098331352925193</v>
      </c>
      <c r="Q29" s="50">
        <f t="shared" si="22"/>
        <v>37.961487774960169</v>
      </c>
      <c r="R29" s="50">
        <f t="shared" ref="R29" si="23">R28/R$4^2*1000000</f>
        <v>37.460278276505363</v>
      </c>
    </row>
    <row r="30" spans="1:18" ht="38.25" x14ac:dyDescent="0.2">
      <c r="A30" s="159">
        <v>2</v>
      </c>
      <c r="B30" s="174" t="str">
        <f>Lähteandmed!B27</f>
        <v>Miinimumtemperatuur</v>
      </c>
      <c r="C30" s="77" t="s">
        <v>222</v>
      </c>
      <c r="D30" s="9">
        <f>SQRT((kaalutegur R_2*[1]!juhe(D5,6)+jaitetegur R_2*[1]!Jaitekoormus_EN(D$5,JaideJ,hj))^2+(tuuletegur R_2*[1]!Tuulekoormus_en(D$5,Qj,hj,zo,D$4,JaideJ,jaitetegur R_2))^2)</f>
        <v>3.3099999999999997E-2</v>
      </c>
      <c r="E30" s="9">
        <f>SQRT((kaalutegur R_2*[1]!juhe(E5,6)+jaitetegur R_2*[1]!Jaitekoormus_EN(E$5,JaideJ,hj))^2+(tuuletegur R_2*[1]!Tuulekoormus_en(E$5,Qj,hj,zo,E$4,JaideJ,jaitetegur R_2))^2)</f>
        <v>3.3099999999999997E-2</v>
      </c>
      <c r="F30" s="9">
        <f>SQRT((kaalutegur R_2*[1]!juhe(F5,6)+jaitetegur R_2*[1]!Jaitekoormus_EN(F$5,JaideJ,hj))^2+(tuuletegur R_2*[1]!Tuulekoormus_en(F$5,Qj,hj,zo,F$4,JaideJ,jaitetegur R_2))^2)</f>
        <v>3.3099999999999997E-2</v>
      </c>
      <c r="G30" s="9">
        <f>SQRT((kaalutegur R_2*[1]!juhe(G5,6)+jaitetegur R_2*[1]!Jaitekoormus_EN(G$5,JaideJ,hj))^2+(tuuletegur R_2*[1]!Tuulekoormus_en(G$5,Qj,hj,zo,G$4,JaideJ,jaitetegur R_2))^2)</f>
        <v>3.3099999999999997E-2</v>
      </c>
      <c r="H30" s="9">
        <f>SQRT((kaalutegur R_2*[1]!juhe(H5,6)+jaitetegur R_2*[1]!Jaitekoormus_EN(H$5,JaideJ,hj))^2+(tuuletegur R_2*[1]!Tuulekoormus_en(H$5,Qj,hj,zo,H$4,JaideJ,jaitetegur R_2))^2)</f>
        <v>3.3099999999999997E-2</v>
      </c>
      <c r="I30" s="9">
        <f>SQRT((kaalutegur R_2*[1]!juhe(I5,6)+jaitetegur R_2*[1]!Jaitekoormus_EN(I$5,JaideJ,hj))^2+(tuuletegur R_2*[1]!Tuulekoormus_en(I$5,Qj,hj,zo,I$4,JaideJ,jaitetegur R_2))^2)</f>
        <v>3.3099999999999997E-2</v>
      </c>
      <c r="J30" s="9">
        <f>SQRT((kaalutegur R_2*[1]!juhe(J5,6)+jaitetegur R_2*[1]!Jaitekoormus_EN(J$5,JaideJ,hj))^2+(tuuletegur R_2*[1]!Tuulekoormus_en(J$5,Qj,hj,zo,J$4,JaideJ,jaitetegur R_2))^2)</f>
        <v>3.3099999999999997E-2</v>
      </c>
      <c r="K30" s="9">
        <f>SQRT((kaalutegur R_2*[1]!juhe(K5,6)+jaitetegur R_2*[1]!Jaitekoormus_EN(K$5,JaideJ,hj))^2+(tuuletegur R_2*[1]!Tuulekoormus_en(K$5,Qj,hj,zo,K$4,JaideJ,jaitetegur R_2))^2)</f>
        <v>3.3099999999999997E-2</v>
      </c>
      <c r="L30" s="9">
        <f>SQRT((kaalutegur R_2*[1]!juhe(L5,6)+jaitetegur R_2*[1]!Jaitekoormus_EN(L$5,JaideJ,hj))^2+(tuuletegur R_2*[1]!Tuulekoormus_en(L$5,Qj,hj,zo,L$4,JaideJ,jaitetegur R_2))^2)</f>
        <v>3.3099999999999997E-2</v>
      </c>
      <c r="M30" s="9">
        <f>SQRT((kaalutegur R_2*[1]!juhe(M5,6)+jaitetegur R_2*[1]!Jaitekoormus_EN(M$5,JaideJ,hj))^2+(tuuletegur R_2*[1]!Tuulekoormus_en(M$5,Qj,hj,zo,M$4,JaideJ,jaitetegur R_2))^2)</f>
        <v>3.3099999999999997E-2</v>
      </c>
      <c r="N30" s="9">
        <f>SQRT((kaalutegur R_2*[1]!juhe(N5,6)+jaitetegur R_2*[1]!Jaitekoormus_EN(N$5,JaideJ,hj))^2+(tuuletegur R_2*[1]!Tuulekoormus_en(N$5,Qj,hj,zo,N$4,JaideJ,jaitetegur R_2))^2)</f>
        <v>3.3099999999999997E-2</v>
      </c>
      <c r="O30" s="9">
        <f>SQRT((kaalutegur R_2*[1]!juhe(O5,6)+jaitetegur R_2*[1]!Jaitekoormus_EN(O$5,JaideJ,hj))^2+(tuuletegur R_2*[1]!Tuulekoormus_en(O$5,Qj,hj,zo,O$4,JaideJ,jaitetegur R_2))^2)</f>
        <v>3.3099999999999997E-2</v>
      </c>
      <c r="P30" s="9">
        <f>SQRT((kaalutegur R_2*[1]!juhe(P5,6)+jaitetegur R_2*[1]!Jaitekoormus_EN(P$5,JaideJ,hj))^2+(tuuletegur R_2*[1]!Tuulekoormus_en(P$5,Qj,hj,zo,P$4,JaideJ,jaitetegur R_2))^2)</f>
        <v>3.3099999999999997E-2</v>
      </c>
      <c r="Q30" s="9">
        <f>SQRT((kaalutegur R_2*[1]!juhe(Q5,6)+jaitetegur R_2*[1]!Jaitekoormus_EN(Q$5,JaideJ,hj))^2+(tuuletegur R_2*[1]!Tuulekoormus_en(Q$5,Qj,hj,zo,Q$4,JaideJ,jaitetegur R_2))^2)</f>
        <v>3.3099999999999997E-2</v>
      </c>
      <c r="R30" s="9">
        <f>SQRT((kaalutegur R_2*[1]!juhe(R5,6)+jaitetegur R_2*[1]!Jaitekoormus_EN(R$5,JaideJ,hj))^2+(tuuletegur R_2*[1]!Tuulekoormus_en(R$5,Qj,hj,zo,R$4,JaideJ,jaitetegur R_2))^2)</f>
        <v>3.3099999999999997E-2</v>
      </c>
    </row>
    <row r="31" spans="1:18" x14ac:dyDescent="0.2">
      <c r="A31" s="159"/>
      <c r="B31" s="174"/>
      <c r="C31" s="77" t="s">
        <v>104</v>
      </c>
      <c r="D31" s="22">
        <f>[1]!Olekuvorrand(D$4,D$5,D$6,5,D$9,Lähteandmed!$C27,D30)</f>
        <v>78.542172908782959</v>
      </c>
      <c r="E31" s="22">
        <f>[1]!Olekuvorrand(E$4,E$5,E$6,5,E$9,Lähteandmed!$C27,E30)</f>
        <v>78.766405582427979</v>
      </c>
      <c r="F31" s="22">
        <f>[1]!Olekuvorrand(F$4,F$5,F$6,5,F$9,Lähteandmed!$C27,F30)</f>
        <v>78.954756259918213</v>
      </c>
      <c r="G31" s="22">
        <f>[1]!Olekuvorrand(G$4,G$5,G$6,5,G$9,Lähteandmed!$C27,G30)</f>
        <v>85.95651388168335</v>
      </c>
      <c r="H31" s="22">
        <f>[1]!Olekuvorrand(H$4,H$5,H$6,5,H$9,Lähteandmed!$C27,H30)</f>
        <v>79.617202281951904</v>
      </c>
      <c r="I31" s="22">
        <f>[1]!Olekuvorrand(I$4,I$5,I$6,5,I$9,Lähteandmed!$C27,I30)</f>
        <v>80.145061016082764</v>
      </c>
      <c r="J31" s="22">
        <f>[1]!Olekuvorrand(J$4,J$5,J$6,5,J$9,Lähteandmed!$C27,J30)</f>
        <v>81.105172634124756</v>
      </c>
      <c r="K31" s="22">
        <f>[1]!Olekuvorrand(K$4,K$5,K$6,5,K$9,Lähteandmed!$C27,K30)</f>
        <v>77.315270900726318</v>
      </c>
      <c r="L31" s="22">
        <f>[1]!Olekuvorrand(L$4,L$5,L$6,5,L$9,Lähteandmed!$C27,L30)</f>
        <v>81.090867519378662</v>
      </c>
      <c r="M31" s="22">
        <f>[1]!Olekuvorrand(M$4,M$5,M$6,5,M$9,Lähteandmed!$C27,M30)</f>
        <v>77.464520931243896</v>
      </c>
      <c r="N31" s="22">
        <f>[1]!Olekuvorrand(N$4,N$5,N$6,5,N$9,Lähteandmed!$C27,N30)</f>
        <v>77.735483646392822</v>
      </c>
      <c r="O31" s="22">
        <f>[1]!Olekuvorrand(O$4,O$5,O$6,5,O$9,Lähteandmed!$C27,O30)</f>
        <v>81.162989139556885</v>
      </c>
      <c r="P31" s="22">
        <f>[1]!Olekuvorrand(P$4,P$5,P$6,5,P$9,Lähteandmed!$C27,P30)</f>
        <v>85.232555866241455</v>
      </c>
      <c r="Q31" s="22">
        <f>[1]!Olekuvorrand(Q$4,Q$5,Q$6,5,Q$9,Lähteandmed!$C27,Q30)</f>
        <v>84.099471569061279</v>
      </c>
      <c r="R31" s="22">
        <f>[1]!Olekuvorrand(R$4,R$5,R$6,5,R$9,Lähteandmed!$C27,R30)</f>
        <v>79.802453517913818</v>
      </c>
    </row>
    <row r="32" spans="1:18" x14ac:dyDescent="0.2">
      <c r="A32" s="159"/>
      <c r="B32" s="174"/>
      <c r="C32" s="77" t="s">
        <v>105</v>
      </c>
      <c r="D32" s="9">
        <f>[1]!ripe(D31,D$9+Lähteandmed!$E27*D$11,D$4,0)</f>
        <v>10.535316722805897</v>
      </c>
      <c r="E32" s="9">
        <f>[1]!ripe(E31,E$9+Lähteandmed!$E27*D$11,E$4,0)</f>
        <v>10.328586212046565</v>
      </c>
      <c r="F32" s="9">
        <f>[1]!ripe(F31,F$9+Lähteandmed!$E27*D$11,F$4,0)</f>
        <v>10.160014240666168</v>
      </c>
      <c r="G32" s="9">
        <f>[1]!ripe(G31,G$9+Lähteandmed!$E27*D$11,G$4,0)</f>
        <v>5.9904369555512638</v>
      </c>
      <c r="H32" s="9">
        <f>[1]!ripe(H31,H$9+Lähteandmed!$E27*D$11,H$4,0)</f>
        <v>9.6005975474943455</v>
      </c>
      <c r="I32" s="9">
        <f>[1]!ripe(I31,I$9+Lähteandmed!$E27*D$11,I$4,0)</f>
        <v>9.1889300713556388</v>
      </c>
      <c r="J32" s="9">
        <f>[1]!ripe(J31,J$9+Lähteandmed!$E27*D$11,J$4,0)</f>
        <v>8.5074177964354156</v>
      </c>
      <c r="K32" s="9">
        <f>[1]!ripe(K31,K$9+Lähteandmed!$E27*D$11,K$4,0)</f>
        <v>11.796135927586658</v>
      </c>
      <c r="L32" s="9">
        <f>[1]!ripe(L31,L$9+Lähteandmed!$E27*D$11,L$4,0)</f>
        <v>8.5170273424134972</v>
      </c>
      <c r="M32" s="9">
        <f>[1]!ripe(M31,M$9+Lähteandmed!$E27*D$11,M$4,0)</f>
        <v>11.6298420840326</v>
      </c>
      <c r="N32" s="9">
        <f>[1]!ripe(N31,N$9+Lähteandmed!$E27*D$11,N$4,0)</f>
        <v>11.337606499971823</v>
      </c>
      <c r="O32" s="9">
        <f>[1]!ripe(O31,O$9+Lähteandmed!$E27*D$11,O$4,0)</f>
        <v>8.4689079034136245</v>
      </c>
      <c r="P32" s="9">
        <f>[1]!ripe(P31,P$9+Lähteandmed!$E27*D$11,P$4,0)</f>
        <v>6.2924360987632273</v>
      </c>
      <c r="Q32" s="9">
        <f>[1]!ripe(Q31,Q$9+Lähteandmed!$E27*D$11,Q$4,0)</f>
        <v>6.808849241633121</v>
      </c>
      <c r="R32" s="9">
        <f>[1]!ripe(R31,R$9+Lähteandmed!$E27*D$11,R$4,0)</f>
        <v>9.4528547117921526</v>
      </c>
    </row>
    <row r="33" spans="1:18" x14ac:dyDescent="0.2">
      <c r="A33" s="39"/>
      <c r="B33" s="174"/>
      <c r="C33" s="77" t="s">
        <v>49</v>
      </c>
      <c r="D33" s="51">
        <f t="shared" ref="D33:K33" si="24">D32/D$4^2*1000000</f>
        <v>52.67870555103174</v>
      </c>
      <c r="E33" s="51">
        <f t="shared" si="24"/>
        <v>52.52873949757884</v>
      </c>
      <c r="F33" s="51">
        <f t="shared" si="24"/>
        <v>52.403429457490745</v>
      </c>
      <c r="G33" s="51">
        <f t="shared" si="24"/>
        <v>48.134804602419649</v>
      </c>
      <c r="H33" s="51">
        <f t="shared" si="24"/>
        <v>51.967412586889061</v>
      </c>
      <c r="I33" s="51">
        <f t="shared" si="24"/>
        <v>51.625140059095152</v>
      </c>
      <c r="J33" s="51">
        <f t="shared" si="24"/>
        <v>51.014008917344434</v>
      </c>
      <c r="K33" s="51">
        <f t="shared" si="24"/>
        <v>53.514654372906442</v>
      </c>
      <c r="L33" s="51">
        <f t="shared" ref="L33:Q33" si="25">L32/L$4^2*1000000</f>
        <v>51.023008219899012</v>
      </c>
      <c r="M33" s="51">
        <f t="shared" si="25"/>
        <v>53.411548283792648</v>
      </c>
      <c r="N33" s="51">
        <f t="shared" si="25"/>
        <v>53.225371553882304</v>
      </c>
      <c r="O33" s="51">
        <f t="shared" si="25"/>
        <v>50.977669056590749</v>
      </c>
      <c r="P33" s="51">
        <f t="shared" si="25"/>
        <v>48.54365750210669</v>
      </c>
      <c r="Q33" s="51">
        <f t="shared" si="25"/>
        <v>49.197693193617084</v>
      </c>
      <c r="R33" s="51">
        <f t="shared" ref="R33" si="26">R32/R$4^2*1000000</f>
        <v>51.846776854689381</v>
      </c>
    </row>
    <row r="34" spans="1:18" ht="38.25" x14ac:dyDescent="0.2">
      <c r="A34" s="172">
        <v>3</v>
      </c>
      <c r="B34" s="173" t="str">
        <f>Lähteandmed!B30</f>
        <v>Mõõdukas tuul</v>
      </c>
      <c r="C34" s="76" t="s">
        <v>222</v>
      </c>
      <c r="D34" s="6">
        <f>SQRT((kaalutegur R_3*[1]!juhe(D5,6)+jaitetegur R_3*[1]!Jaitekoormus_EN(D$5,JaideJ,hj))^2+(tuuletegur R_3*[1]!Tuulekoormus_en(D$5,Qj,hj,zo,D$4,JaideJ,jaitetegur R_3))^2)</f>
        <v>3.9218060571908478E-2</v>
      </c>
      <c r="E34" s="6">
        <f>SQRT((kaalutegur R_3*[1]!juhe(E5,6)+jaitetegur R_3*[1]!Jaitekoormus_EN(E$5,JaideJ,hj))^2+(tuuletegur R_3*[1]!Tuulekoormus_en(E$5,Qj,hj,zo,E$4,JaideJ,jaitetegur R_3))^2)</f>
        <v>3.9227879103166406E-2</v>
      </c>
      <c r="F34" s="6">
        <f>SQRT((kaalutegur R_3*[1]!juhe(F5,6)+jaitetegur R_3*[1]!Jaitekoormus_EN(F$5,JaideJ,hj))^2+(tuuletegur R_3*[1]!Tuulekoormus_en(F$5,Qj,hj,zo,F$4,JaideJ,jaitetegur R_3))^2)</f>
        <v>3.9236024235985115E-2</v>
      </c>
      <c r="G34" s="6">
        <f>SQRT((kaalutegur R_3*[1]!juhe(G5,6)+jaitetegur R_3*[1]!Jaitekoormus_EN(G$5,JaideJ,hj))^2+(tuuletegur R_3*[1]!Tuulekoormus_en(G$5,Qj,hj,zo,G$4,JaideJ,jaitetegur R_3))^2)</f>
        <v>3.9494845420350998E-2</v>
      </c>
      <c r="H34" s="6">
        <f>SQRT((kaalutegur R_3*[1]!juhe(H5,6)+jaitetegur R_3*[1]!Jaitekoormus_EN(H$5,JaideJ,hj))^2+(tuuletegur R_3*[1]!Tuulekoormus_en(H$5,Qj,hj,zo,H$4,JaideJ,jaitetegur R_3))^2)</f>
        <v>3.92640105355914E-2</v>
      </c>
      <c r="I34" s="6">
        <f>SQRT((kaalutegur R_3*[1]!juhe(I5,6)+jaitetegur R_3*[1]!Jaitekoormus_EN(I$5,JaideJ,hj))^2+(tuuletegur R_3*[1]!Tuulekoormus_en(I$5,Qj,hj,zo,I$4,JaideJ,jaitetegur R_3))^2)</f>
        <v>3.9285618241428941E-2</v>
      </c>
      <c r="J34" s="6">
        <f>SQRT((kaalutegur R_3*[1]!juhe(J5,6)+jaitetegur R_3*[1]!Jaitekoormus_EN(J$5,JaideJ,hj))^2+(tuuletegur R_3*[1]!Tuulekoormus_en(J$5,Qj,hj,zo,J$4,JaideJ,jaitetegur R_3))^2)</f>
        <v>3.932351427649132E-2</v>
      </c>
      <c r="K34" s="6">
        <f>SQRT((kaalutegur R_3*[1]!juhe(K5,6)+jaitetegur R_3*[1]!Jaitekoormus_EN(K$5,JaideJ,hj))^2+(tuuletegur R_3*[1]!Tuulekoormus_en(K$5,Qj,hj,zo,K$4,JaideJ,jaitetegur R_3))^2)</f>
        <v>3.9161874746022826E-2</v>
      </c>
      <c r="L34" s="6">
        <f>SQRT((kaalutegur R_3*[1]!juhe(L5,6)+jaitetegur R_3*[1]!Jaitekoormus_EN(L$5,JaideJ,hj))^2+(tuuletegur R_3*[1]!Tuulekoormus_en(L$5,Qj,hj,zo,L$4,JaideJ,jaitetegur R_3))^2)</f>
        <v>3.9322959601679648E-2</v>
      </c>
      <c r="M34" s="6">
        <f>SQRT((kaalutegur R_3*[1]!juhe(M5,6)+jaitetegur R_3*[1]!Jaitekoormus_EN(M$5,JaideJ,hj))^2+(tuuletegur R_3*[1]!Tuulekoormus_en(M$5,Qj,hj,zo,M$4,JaideJ,jaitetegur R_3))^2)</f>
        <v>3.9168948853815028E-2</v>
      </c>
      <c r="N34" s="6">
        <f>SQRT((kaalutegur R_3*[1]!juhe(N5,6)+jaitetegur R_3*[1]!Jaitekoormus_EN(N$5,JaideJ,hj))^2+(tuuletegur R_3*[1]!Tuulekoormus_en(N$5,Qj,hj,zo,N$4,JaideJ,jaitetegur R_3))^2)</f>
        <v>3.9181617018195711E-2</v>
      </c>
      <c r="O34" s="6">
        <f>SQRT((kaalutegur R_3*[1]!juhe(O5,6)+jaitetegur R_3*[1]!Jaitekoormus_EN(O$5,JaideJ,hj))^2+(tuuletegur R_3*[1]!Tuulekoormus_en(O$5,Qj,hj,zo,O$4,JaideJ,jaitetegur R_3))^2)</f>
        <v>3.9325741449115284E-2</v>
      </c>
      <c r="P34" s="6">
        <f>SQRT((kaalutegur R_3*[1]!juhe(P5,6)+jaitetegur R_3*[1]!Jaitekoormus_EN(P$5,JaideJ,hj))^2+(tuuletegur R_3*[1]!Tuulekoormus_en(P$5,Qj,hj,zo,P$4,JaideJ,jaitetegur R_3))^2)</f>
        <v>3.9470898266912316E-2</v>
      </c>
      <c r="Q34" s="6">
        <f>SQRT((kaalutegur R_3*[1]!juhe(Q5,6)+jaitetegur R_3*[1]!Jaitekoormus_EN(Q$5,JaideJ,hj))^2+(tuuletegur R_3*[1]!Tuulekoormus_en(Q$5,Qj,hj,zo,Q$4,JaideJ,jaitetegur R_3))^2)</f>
        <v>3.9432460773844498E-2</v>
      </c>
      <c r="R34" s="6">
        <f>SQRT((kaalutegur R_3*[1]!juhe(R5,6)+jaitetegur R_3*[1]!Jaitekoormus_EN(R$5,JaideJ,hj))^2+(tuuletegur R_3*[1]!Tuulekoormus_en(R$5,Qj,hj,zo,R$4,JaideJ,jaitetegur R_3))^2)</f>
        <v>3.9271661788174483E-2</v>
      </c>
    </row>
    <row r="35" spans="1:18" x14ac:dyDescent="0.2">
      <c r="A35" s="172"/>
      <c r="B35" s="173"/>
      <c r="C35" s="76" t="s">
        <v>104</v>
      </c>
      <c r="D35" s="3">
        <f>[1]!Olekuvorrand(D$4,D$5,D$6,5,D$9,Lähteandmed!$C30,D34)</f>
        <v>80.264866352081299</v>
      </c>
      <c r="E35" s="3">
        <f>[1]!Olekuvorrand(E$4,E$5,E$6,5,E$9,Lähteandmed!$C30,E34)</f>
        <v>80.326259136199951</v>
      </c>
      <c r="F35" s="3">
        <f>[1]!Olekuvorrand(F$4,F$5,F$6,5,F$9,Lähteandmed!$C30,F34)</f>
        <v>80.377519130706787</v>
      </c>
      <c r="G35" s="3">
        <f>[1]!Olekuvorrand(G$4,G$5,G$6,5,G$9,Lähteandmed!$C30,G34)</f>
        <v>82.117855548858643</v>
      </c>
      <c r="H35" s="3">
        <f>[1]!Olekuvorrand(H$4,H$5,H$6,5,H$9,Lähteandmed!$C30,H34)</f>
        <v>80.555379390716553</v>
      </c>
      <c r="I35" s="3">
        <f>[1]!Olekuvorrand(I$4,I$5,I$6,5,I$9,Lähteandmed!$C30,I34)</f>
        <v>80.694615840911865</v>
      </c>
      <c r="J35" s="3">
        <f>[1]!Olekuvorrand(J$4,J$5,J$6,5,J$9,Lähteandmed!$C30,J34)</f>
        <v>80.94257116317749</v>
      </c>
      <c r="K35" s="3">
        <f>[1]!Olekuvorrand(K$4,K$5,K$6,5,K$9,Lähteandmed!$C30,K34)</f>
        <v>79.919993877410889</v>
      </c>
      <c r="L35" s="3">
        <f>[1]!Olekuvorrand(L$4,L$5,L$6,5,L$9,Lähteandmed!$C30,L34)</f>
        <v>80.938875675201416</v>
      </c>
      <c r="M35" s="3">
        <f>[1]!Olekuvorrand(M$4,M$5,M$6,5,M$9,Lähteandmed!$C30,M34)</f>
        <v>79.962790012359619</v>
      </c>
      <c r="N35" s="3">
        <f>[1]!Olekuvorrand(N$4,N$5,N$6,5,N$9,Lähteandmed!$C30,N34)</f>
        <v>80.039799213409424</v>
      </c>
      <c r="O35" s="3">
        <f>[1]!Olekuvorrand(O$4,O$5,O$6,5,O$9,Lähteandmed!$C30,O34)</f>
        <v>80.957233905792236</v>
      </c>
      <c r="P35" s="3">
        <f>[1]!Olekuvorrand(P$4,P$5,P$6,5,P$9,Lähteandmed!$C30,P34)</f>
        <v>81.948816776275635</v>
      </c>
      <c r="Q35" s="3">
        <f>[1]!Olekuvorrand(Q$4,Q$5,Q$6,5,Q$9,Lähteandmed!$C30,Q34)</f>
        <v>81.680476665496826</v>
      </c>
      <c r="R35" s="3">
        <f>[1]!Olekuvorrand(R$4,R$5,R$6,5,R$9,Lähteandmed!$C30,R34)</f>
        <v>80.604493618011475</v>
      </c>
    </row>
    <row r="36" spans="1:18" x14ac:dyDescent="0.2">
      <c r="A36" s="172"/>
      <c r="B36" s="173"/>
      <c r="C36" s="76" t="s">
        <v>105</v>
      </c>
      <c r="D36" s="3">
        <f>[1]!ripe(D35,D$9+Lähteandmed!$E30*D$11,D$4,0)</f>
        <v>10.309201339247689</v>
      </c>
      <c r="E36" s="3">
        <f>[1]!ripe(E35,E$9+Lähteandmed!$E30*D$11,E$4,0)</f>
        <v>10.128015662869323</v>
      </c>
      <c r="F36" s="3">
        <f>[1]!ripe(F35,F$9+Lähteandmed!$E30*D$11,F$4,0)</f>
        <v>9.9801717774421359</v>
      </c>
      <c r="G36" s="3">
        <f>[1]!ripe(G35,G$9+Lähteandmed!$E30*D$11,G$4,0)</f>
        <v>6.2704642478251849</v>
      </c>
      <c r="H36" s="3">
        <f>[1]!ripe(H35,H$9+Lähteandmed!$E30*D$11,H$4,0)</f>
        <v>9.488785513119403</v>
      </c>
      <c r="I36" s="3">
        <f>[1]!ripe(I35,I$9+Lähteandmed!$E30*D$11,I$4,0)</f>
        <v>9.1263506687138776</v>
      </c>
      <c r="J36" s="3">
        <f>[1]!ripe(J35,J$9+Lähteandmed!$E30*D$11,J$4,0)</f>
        <v>8.5245079212953563</v>
      </c>
      <c r="K36" s="3">
        <f>[1]!ripe(K35,K$9+Lähteandmed!$E30*D$11,K$4,0)</f>
        <v>11.411680614266572</v>
      </c>
      <c r="L36" s="3">
        <f>[1]!ripe(L35,L$9+Lähteandmed!$E30*D$11,L$4,0)</f>
        <v>8.5330211239169156</v>
      </c>
      <c r="M36" s="3">
        <f>[1]!ripe(M35,M$9+Lähteandmed!$E30*D$11,M$4,0)</f>
        <v>11.266492144738258</v>
      </c>
      <c r="N36" s="3">
        <f>[1]!ripe(N35,N$9+Lähteandmed!$E30*D$11,N$4,0)</f>
        <v>11.011201094069497</v>
      </c>
      <c r="O36" s="3">
        <f>[1]!ripe(O35,O$9+Lähteandmed!$E30*D$11,O$4,0)</f>
        <v>8.4904318864022947</v>
      </c>
      <c r="P36" s="3">
        <f>[1]!ripe(P35,P$9+Lähteandmed!$E30*D$11,P$4,0)</f>
        <v>6.5445778526219938</v>
      </c>
      <c r="Q36" s="3">
        <f>[1]!ripe(Q35,Q$9+Lähteandmed!$E30*D$11,Q$4,0)</f>
        <v>7.0104956115741359</v>
      </c>
      <c r="R36" s="3">
        <f>[1]!ripe(R35,R$9+Lähteandmed!$E30*D$11,R$4,0)</f>
        <v>9.3587958299736798</v>
      </c>
    </row>
    <row r="37" spans="1:18" x14ac:dyDescent="0.2">
      <c r="A37" s="42"/>
      <c r="B37" s="173"/>
      <c r="C37" s="76" t="s">
        <v>49</v>
      </c>
      <c r="D37" s="50">
        <f t="shared" ref="D37:K37" si="27">D36/D$4^2*1000000</f>
        <v>51.548083090936494</v>
      </c>
      <c r="E37" s="50">
        <f t="shared" si="27"/>
        <v>51.508685260501416</v>
      </c>
      <c r="F37" s="50">
        <f t="shared" si="27"/>
        <v>51.475836088841689</v>
      </c>
      <c r="G37" s="50">
        <f t="shared" si="27"/>
        <v>50.384900730125146</v>
      </c>
      <c r="H37" s="50">
        <f t="shared" si="27"/>
        <v>51.362181288129065</v>
      </c>
      <c r="I37" s="50">
        <f t="shared" si="27"/>
        <v>51.273557186975331</v>
      </c>
      <c r="J37" s="50">
        <f t="shared" si="27"/>
        <v>51.116488400880421</v>
      </c>
      <c r="K37" s="50">
        <f t="shared" si="27"/>
        <v>51.770524486607222</v>
      </c>
      <c r="L37" s="50">
        <f t="shared" ref="L37:Q37" si="28">L36/L$4^2*1000000</f>
        <v>51.118822265376167</v>
      </c>
      <c r="M37" s="50">
        <f t="shared" si="28"/>
        <v>51.742816869702501</v>
      </c>
      <c r="N37" s="50">
        <f t="shared" si="28"/>
        <v>51.693033224236601</v>
      </c>
      <c r="O37" s="50">
        <f t="shared" si="28"/>
        <v>51.107230328727596</v>
      </c>
      <c r="P37" s="50">
        <f t="shared" si="28"/>
        <v>50.488831477525551</v>
      </c>
      <c r="Q37" s="50">
        <f t="shared" si="28"/>
        <v>50.654699493786715</v>
      </c>
      <c r="R37" s="50">
        <f t="shared" ref="R37" si="29">R36/R$4^2*1000000</f>
        <v>51.330885094419287</v>
      </c>
    </row>
    <row r="38" spans="1:18" ht="38.25" x14ac:dyDescent="0.2">
      <c r="A38" s="159">
        <v>4</v>
      </c>
      <c r="B38" s="174" t="str">
        <f>Lähteandmed!B33</f>
        <v>Piirjäitekoormus</v>
      </c>
      <c r="C38" s="77" t="s">
        <v>222</v>
      </c>
      <c r="D38" s="9">
        <f>SQRT((kaalutegur R_4*[1]!juhe(D5,6)+jaitetegur R_4*[1]!Jaitekoormus_EN(D$5,JaideJ,hj))^2+(tuuletegur R_4*[1]!Tuulekoormus_en(D$5,Qj,hj,zo,D$4,JaideJ,jaitetegur R_4))^2)</f>
        <v>6.0857429672769123E-2</v>
      </c>
      <c r="E38" s="9">
        <f>SQRT((kaalutegur R_4*[1]!juhe(E5,6)+jaitetegur R_4*[1]!Jaitekoormus_EN(E$5,JaideJ,hj))^2+(tuuletegur R_4*[1]!Tuulekoormus_en(E$5,Qj,hj,zo,E$4,JaideJ,jaitetegur R_4))^2)</f>
        <v>6.0857429672769123E-2</v>
      </c>
      <c r="F38" s="9">
        <f>SQRT((kaalutegur R_4*[1]!juhe(F5,6)+jaitetegur R_4*[1]!Jaitekoormus_EN(F$5,JaideJ,hj))^2+(tuuletegur R_4*[1]!Tuulekoormus_en(F$5,Qj,hj,zo,F$4,JaideJ,jaitetegur R_4))^2)</f>
        <v>6.0857429672769123E-2</v>
      </c>
      <c r="G38" s="9">
        <f>SQRT((kaalutegur R_4*[1]!juhe(G5,6)+jaitetegur R_4*[1]!Jaitekoormus_EN(G$5,JaideJ,hj))^2+(tuuletegur R_4*[1]!Tuulekoormus_en(G$5,Qj,hj,zo,G$4,JaideJ,jaitetegur R_4))^2)</f>
        <v>6.0857429672769123E-2</v>
      </c>
      <c r="H38" s="9">
        <f>SQRT((kaalutegur R_4*[1]!juhe(H5,6)+jaitetegur R_4*[1]!Jaitekoormus_EN(H$5,JaideJ,hj))^2+(tuuletegur R_4*[1]!Tuulekoormus_en(H$5,Qj,hj,zo,H$4,JaideJ,jaitetegur R_4))^2)</f>
        <v>6.0857429672769123E-2</v>
      </c>
      <c r="I38" s="9">
        <f>SQRT((kaalutegur R_4*[1]!juhe(I5,6)+jaitetegur R_4*[1]!Jaitekoormus_EN(I$5,JaideJ,hj))^2+(tuuletegur R_4*[1]!Tuulekoormus_en(I$5,Qj,hj,zo,I$4,JaideJ,jaitetegur R_4))^2)</f>
        <v>6.0857429672769123E-2</v>
      </c>
      <c r="J38" s="9">
        <f>SQRT((kaalutegur R_4*[1]!juhe(J5,6)+jaitetegur R_4*[1]!Jaitekoormus_EN(J$5,JaideJ,hj))^2+(tuuletegur R_4*[1]!Tuulekoormus_en(J$5,Qj,hj,zo,J$4,JaideJ,jaitetegur R_4))^2)</f>
        <v>6.0857429672769123E-2</v>
      </c>
      <c r="K38" s="9">
        <f>SQRT((kaalutegur R_4*[1]!juhe(K5,6)+jaitetegur R_4*[1]!Jaitekoormus_EN(K$5,JaideJ,hj))^2+(tuuletegur R_4*[1]!Tuulekoormus_en(K$5,Qj,hj,zo,K$4,JaideJ,jaitetegur R_4))^2)</f>
        <v>6.0857429672769123E-2</v>
      </c>
      <c r="L38" s="9">
        <f>SQRT((kaalutegur R_4*[1]!juhe(L5,6)+jaitetegur R_4*[1]!Jaitekoormus_EN(L$5,JaideJ,hj))^2+(tuuletegur R_4*[1]!Tuulekoormus_en(L$5,Qj,hj,zo,L$4,JaideJ,jaitetegur R_4))^2)</f>
        <v>6.0857429672769123E-2</v>
      </c>
      <c r="M38" s="9">
        <f>SQRT((kaalutegur R_4*[1]!juhe(M5,6)+jaitetegur R_4*[1]!Jaitekoormus_EN(M$5,JaideJ,hj))^2+(tuuletegur R_4*[1]!Tuulekoormus_en(M$5,Qj,hj,zo,M$4,JaideJ,jaitetegur R_4))^2)</f>
        <v>6.0857429672769123E-2</v>
      </c>
      <c r="N38" s="9">
        <f>SQRT((kaalutegur R_4*[1]!juhe(N5,6)+jaitetegur R_4*[1]!Jaitekoormus_EN(N$5,JaideJ,hj))^2+(tuuletegur R_4*[1]!Tuulekoormus_en(N$5,Qj,hj,zo,N$4,JaideJ,jaitetegur R_4))^2)</f>
        <v>6.0857429672769123E-2</v>
      </c>
      <c r="O38" s="9">
        <f>SQRT((kaalutegur R_4*[1]!juhe(O5,6)+jaitetegur R_4*[1]!Jaitekoormus_EN(O$5,JaideJ,hj))^2+(tuuletegur R_4*[1]!Tuulekoormus_en(O$5,Qj,hj,zo,O$4,JaideJ,jaitetegur R_4))^2)</f>
        <v>6.0857429672769123E-2</v>
      </c>
      <c r="P38" s="9">
        <f>SQRT((kaalutegur R_4*[1]!juhe(P5,6)+jaitetegur R_4*[1]!Jaitekoormus_EN(P$5,JaideJ,hj))^2+(tuuletegur R_4*[1]!Tuulekoormus_en(P$5,Qj,hj,zo,P$4,JaideJ,jaitetegur R_4))^2)</f>
        <v>6.0857429672769123E-2</v>
      </c>
      <c r="Q38" s="9">
        <f>SQRT((kaalutegur R_4*[1]!juhe(Q5,6)+jaitetegur R_4*[1]!Jaitekoormus_EN(Q$5,JaideJ,hj))^2+(tuuletegur R_4*[1]!Tuulekoormus_en(Q$5,Qj,hj,zo,Q$4,JaideJ,jaitetegur R_4))^2)</f>
        <v>6.0857429672769123E-2</v>
      </c>
      <c r="R38" s="9">
        <f>SQRT((kaalutegur R_4*[1]!juhe(R5,6)+jaitetegur R_4*[1]!Jaitekoormus_EN(R$5,JaideJ,hj))^2+(tuuletegur R_4*[1]!Tuulekoormus_en(R$5,Qj,hj,zo,R$4,JaideJ,jaitetegur R_4))^2)</f>
        <v>6.0857429672769123E-2</v>
      </c>
    </row>
    <row r="39" spans="1:18" x14ac:dyDescent="0.2">
      <c r="A39" s="159"/>
      <c r="B39" s="174"/>
      <c r="C39" s="77" t="s">
        <v>104</v>
      </c>
      <c r="D39" s="22">
        <f>[1]!Olekuvorrand(D$4,D$5,D$6,5,D$9,Lähteandmed!$C33,D38)</f>
        <v>109.10731554031372</v>
      </c>
      <c r="E39" s="22">
        <f>[1]!Olekuvorrand(E$4,E$5,E$6,5,E$9,Lähteandmed!$C33,E38)</f>
        <v>108.98822546005249</v>
      </c>
      <c r="F39" s="22">
        <f>[1]!Olekuvorrand(F$4,F$5,F$6,5,F$9,Lähteandmed!$C33,F38)</f>
        <v>108.88892412185669</v>
      </c>
      <c r="G39" s="22">
        <f>[1]!Olekuvorrand(G$4,G$5,G$6,5,G$9,Lähteandmed!$C33,G38)</f>
        <v>105.50719499588013</v>
      </c>
      <c r="H39" s="22">
        <f>[1]!Olekuvorrand(H$4,H$5,H$6,5,H$9,Lähteandmed!$C33,H38)</f>
        <v>108.54393243789673</v>
      </c>
      <c r="I39" s="22">
        <f>[1]!Olekuvorrand(I$4,I$5,I$6,5,I$9,Lähteandmed!$C33,I38)</f>
        <v>108.27380418777466</v>
      </c>
      <c r="J39" s="22">
        <f>[1]!Olekuvorrand(J$4,J$5,J$6,5,J$9,Lähteandmed!$C33,J38)</f>
        <v>107.7924370765686</v>
      </c>
      <c r="K39" s="22">
        <f>[1]!Olekuvorrand(K$4,K$5,K$6,5,K$9,Lähteandmed!$C33,K38)</f>
        <v>109.77464914321899</v>
      </c>
      <c r="L39" s="22">
        <f>[1]!Olekuvorrand(L$4,L$5,L$6,5,L$9,Lähteandmed!$C33,L38)</f>
        <v>107.79958963394165</v>
      </c>
      <c r="M39" s="22">
        <f>[1]!Olekuvorrand(M$4,M$5,M$6,5,M$9,Lähteandmed!$C33,M38)</f>
        <v>109.69191789627075</v>
      </c>
      <c r="N39" s="22">
        <f>[1]!Olekuvorrand(N$4,N$5,N$6,5,N$9,Lähteandmed!$C33,N38)</f>
        <v>109.54290628433228</v>
      </c>
      <c r="O39" s="22">
        <f>[1]!Olekuvorrand(O$4,O$5,O$6,5,O$9,Lähteandmed!$C33,O38)</f>
        <v>107.76382684707642</v>
      </c>
      <c r="P39" s="22">
        <f>[1]!Olekuvorrand(P$4,P$5,P$6,5,P$9,Lähteandmed!$C33,P38)</f>
        <v>105.83621263504028</v>
      </c>
      <c r="Q39" s="22">
        <f>[1]!Olekuvorrand(Q$4,Q$5,Q$6,5,Q$9,Lähteandmed!$C33,Q38)</f>
        <v>106.35823011398315</v>
      </c>
      <c r="R39" s="22">
        <f>[1]!Olekuvorrand(R$4,R$5,R$6,5,R$9,Lähteandmed!$C33,R38)</f>
        <v>108.44868421554565</v>
      </c>
    </row>
    <row r="40" spans="1:18" x14ac:dyDescent="0.2">
      <c r="A40" s="159"/>
      <c r="B40" s="174"/>
      <c r="C40" s="77" t="s">
        <v>105</v>
      </c>
      <c r="D40" s="9">
        <f>[1]!ripe(D39,D$9+Lähteandmed!$E33*D$11,D$4,0)</f>
        <v>13.943835477342272</v>
      </c>
      <c r="E40" s="9">
        <f>[1]!ripe(E39,E$9+Lähteandmed!$E33*D$11,E$4,0)</f>
        <v>13.724228396116166</v>
      </c>
      <c r="F40" s="9">
        <f>[1]!ripe(F39,F$9+Lähteandmed!$E33*D$11,F$4,0)</f>
        <v>13.544859958249685</v>
      </c>
      <c r="G40" s="9">
        <f>[1]!ripe(G39,G$9+Lähteandmed!$E33*D$11,G$4,0)</f>
        <v>8.9730653473116764</v>
      </c>
      <c r="H40" s="9">
        <f>[1]!ripe(H39,H$9+Lähteandmed!$E33*D$11,H$4,0)</f>
        <v>12.947479669678792</v>
      </c>
      <c r="I40" s="9">
        <f>[1]!ripe(I39,I$9+Lähteandmed!$E33*D$11,I$4,0)</f>
        <v>12.50558252706711</v>
      </c>
      <c r="J40" s="9">
        <f>[1]!ripe(J39,J$9+Lähteandmed!$E33*D$11,J$4,0)</f>
        <v>11.769110366940419</v>
      </c>
      <c r="K40" s="9">
        <f>[1]!ripe(K39,K$9+Lähteandmed!$E33*D$11,K$4,0)</f>
        <v>15.275259772760892</v>
      </c>
      <c r="L40" s="9">
        <f>[1]!ripe(L39,L$9+Lähteandmed!$E33*D$11,L$4,0)</f>
        <v>11.779544375052668</v>
      </c>
      <c r="M40" s="9">
        <f>[1]!ripe(M39,M$9+Lähteandmed!$E33*D$11,M$4,0)</f>
        <v>15.100371754178468</v>
      </c>
      <c r="N40" s="9">
        <f>[1]!ripe(N39,N$9+Lähteandmed!$E33*D$11,N$4,0)</f>
        <v>14.792515659022852</v>
      </c>
      <c r="O40" s="9">
        <f>[1]!ripe(O39,O$9+Lähteandmed!$E33*D$11,O$4,0)</f>
        <v>11.72730040185311</v>
      </c>
      <c r="P40" s="9">
        <f>[1]!ripe(P39,P$9+Lähteandmed!$E33*D$11,P$4,0)</f>
        <v>9.3169903921088668</v>
      </c>
      <c r="Q40" s="9">
        <f>[1]!ripe(Q39,Q$9+Lähteandmed!$E33*D$11,Q$4,0)</f>
        <v>9.8987759773597066</v>
      </c>
      <c r="R40" s="9">
        <f>[1]!ripe(R39,R$9+Lähteandmed!$E33*D$11,R$4,0)</f>
        <v>12.789116743020109</v>
      </c>
    </row>
    <row r="41" spans="1:18" x14ac:dyDescent="0.2">
      <c r="A41" s="39"/>
      <c r="B41" s="174"/>
      <c r="C41" s="77" t="s">
        <v>49</v>
      </c>
      <c r="D41" s="51">
        <f t="shared" ref="D41:K41" si="30">D40/D$4^2*1000000</f>
        <v>69.721985839578167</v>
      </c>
      <c r="E41" s="51">
        <f t="shared" si="30"/>
        <v>69.798170187516305</v>
      </c>
      <c r="F41" s="51">
        <f t="shared" si="30"/>
        <v>69.861822682562376</v>
      </c>
      <c r="G41" s="51">
        <f t="shared" si="30"/>
        <v>72.101042108011569</v>
      </c>
      <c r="H41" s="51">
        <f t="shared" si="30"/>
        <v>70.083868699418815</v>
      </c>
      <c r="I41" s="51">
        <f t="shared" si="30"/>
        <v>70.258718312910972</v>
      </c>
      <c r="J41" s="51">
        <f t="shared" si="30"/>
        <v>70.572471644671182</v>
      </c>
      <c r="K41" s="51">
        <f t="shared" si="30"/>
        <v>69.298137306468007</v>
      </c>
      <c r="L41" s="51">
        <f t="shared" ref="L41:Q41" si="31">L40/L$4^2*1000000</f>
        <v>70.567789125432384</v>
      </c>
      <c r="M41" s="51">
        <f t="shared" si="31"/>
        <v>69.350402973989446</v>
      </c>
      <c r="N41" s="51">
        <f t="shared" si="31"/>
        <v>69.444740578187307</v>
      </c>
      <c r="O41" s="51">
        <f t="shared" si="31"/>
        <v>70.591207937438966</v>
      </c>
      <c r="P41" s="51">
        <f t="shared" si="31"/>
        <v>71.876898461288619</v>
      </c>
      <c r="Q41" s="51">
        <f t="shared" si="31"/>
        <v>71.524119016869648</v>
      </c>
      <c r="R41" s="51">
        <f t="shared" ref="R41" si="32">R40/R$4^2*1000000</f>
        <v>70.145421902736956</v>
      </c>
    </row>
    <row r="42" spans="1:18" ht="38.25" x14ac:dyDescent="0.2">
      <c r="A42" s="172">
        <v>5</v>
      </c>
      <c r="B42" s="173" t="str">
        <f>Lähteandmed!B36</f>
        <v>Piirjäitekoormus + vähend tuul</v>
      </c>
      <c r="C42" s="76" t="s">
        <v>222</v>
      </c>
      <c r="D42" s="6">
        <f>SQRT((kaalutegur R_5*[1]!juhe(D5,6)+jaitetegur R_5*[1]!Jaitekoormus_EN(D$5,JaideJ,hj))^2+(tuuletegur R_5*[1]!Tuulekoormus_en(D$5,Qj,hj,zo,D$4,JaideJ,jaitetegur R_5))^2)</f>
        <v>6.7896360407287637E-2</v>
      </c>
      <c r="E42" s="6">
        <f>SQRT((kaalutegur R_5*[1]!juhe(E5,6)+jaitetegur R_5*[1]!Jaitekoormus_EN(E$5,JaideJ,hj))^2+(tuuletegur R_5*[1]!Tuulekoormus_en(E$5,Qj,hj,zo,E$4,JaideJ,jaitetegur R_5))^2)</f>
        <v>6.7907977822825316E-2</v>
      </c>
      <c r="F42" s="6">
        <f>SQRT((kaalutegur R_5*[1]!juhe(F5,6)+jaitetegur R_5*[1]!Jaitekoormus_EN(F$5,JaideJ,hj))^2+(tuuletegur R_5*[1]!Tuulekoormus_en(F$5,Qj,hj,zo,F$4,JaideJ,jaitetegur R_5))^2)</f>
        <v>6.7917615949678378E-2</v>
      </c>
      <c r="G42" s="6">
        <f>SQRT((kaalutegur R_5*[1]!juhe(G5,6)+jaitetegur R_5*[1]!Jaitekoormus_EN(G$5,JaideJ,hj))^2+(tuuletegur R_5*[1]!Tuulekoormus_en(G$5,Qj,hj,zo,G$4,JaideJ,jaitetegur R_5))^2)</f>
        <v>6.8224207003285992E-2</v>
      </c>
      <c r="H42" s="6">
        <f>SQRT((kaalutegur R_5*[1]!juhe(H5,6)+jaitetegur R_5*[1]!Jaitekoormus_EN(H$5,JaideJ,hj))^2+(tuuletegur R_5*[1]!Tuulekoormus_en(H$5,Qj,hj,zo,H$4,JaideJ,jaitetegur R_5))^2)</f>
        <v>6.7950736930433617E-2</v>
      </c>
      <c r="I42" s="6">
        <f>SQRT((kaalutegur R_5*[1]!juhe(I5,6)+jaitetegur R_5*[1]!Jaitekoormus_EN(I$5,JaideJ,hj))^2+(tuuletegur R_5*[1]!Tuulekoormus_en(I$5,Qj,hj,zo,I$4,JaideJ,jaitetegur R_5))^2)</f>
        <v>6.7976314134668453E-2</v>
      </c>
      <c r="J42" s="6">
        <f>SQRT((kaalutegur R_5*[1]!juhe(J5,6)+jaitetegur R_5*[1]!Jaitekoormus_EN(J$5,JaideJ,hj))^2+(tuuletegur R_5*[1]!Tuulekoormus_en(J$5,Qj,hj,zo,J$4,JaideJ,jaitetegur R_5))^2)</f>
        <v>6.8021182684483483E-2</v>
      </c>
      <c r="K42" s="6">
        <f>SQRT((kaalutegur R_5*[1]!juhe(K5,6)+jaitetegur R_5*[1]!Jaitekoormus_EN(K$5,JaideJ,hj))^2+(tuuletegur R_5*[1]!Tuulekoormus_en(K$5,Qj,hj,zo,K$4,JaideJ,jaitetegur R_5))^2)</f>
        <v>6.7829898322161894E-2</v>
      </c>
      <c r="L42" s="6">
        <f>SQRT((kaalutegur R_5*[1]!juhe(L5,6)+jaitetegur R_5*[1]!Jaitekoormus_EN(L$5,JaideJ,hj))^2+(tuuletegur R_5*[1]!Tuulekoormus_en(L$5,Qj,hj,zo,L$4,JaideJ,jaitetegur R_5))^2)</f>
        <v>6.8020525856278907E-2</v>
      </c>
      <c r="M42" s="6">
        <f>SQRT((kaalutegur R_5*[1]!juhe(M5,6)+jaitetegur R_5*[1]!Jaitekoormus_EN(M$5,JaideJ,hj))^2+(tuuletegur R_5*[1]!Tuulekoormus_en(M$5,Qj,hj,zo,M$4,JaideJ,jaitetegur R_5))^2)</f>
        <v>6.7838264605956933E-2</v>
      </c>
      <c r="N42" s="6">
        <f>SQRT((kaalutegur R_5*[1]!juhe(N5,6)+jaitetegur R_5*[1]!Jaitekoormus_EN(N$5,JaideJ,hj))^2+(tuuletegur R_5*[1]!Tuulekoormus_en(N$5,Qj,hj,zo,N$4,JaideJ,jaitetegur R_5))^2)</f>
        <v>6.7853247969413014E-2</v>
      </c>
      <c r="O42" s="6">
        <f>SQRT((kaalutegur R_5*[1]!juhe(O5,6)+jaitetegur R_5*[1]!Jaitekoormus_EN(O$5,JaideJ,hj))^2+(tuuletegur R_5*[1]!Tuulekoormus_en(O$5,Qj,hj,zo,O$4,JaideJ,jaitetegur R_5))^2)</f>
        <v>6.8023820060628501E-2</v>
      </c>
      <c r="P42" s="6">
        <f>SQRT((kaalutegur R_5*[1]!juhe(P5,6)+jaitetegur R_5*[1]!Jaitekoormus_EN(P$5,JaideJ,hj))^2+(tuuletegur R_5*[1]!Tuulekoormus_en(P$5,Qj,hj,zo,P$4,JaideJ,jaitetegur R_5))^2)</f>
        <v>6.8195813388419929E-2</v>
      </c>
      <c r="Q42" s="6">
        <f>SQRT((kaalutegur R_5*[1]!juhe(Q5,6)+jaitetegur R_5*[1]!Jaitekoormus_EN(Q$5,JaideJ,hj))^2+(tuuletegur R_5*[1]!Tuulekoormus_en(Q$5,Qj,hj,zo,Q$4,JaideJ,jaitetegur R_5))^2)</f>
        <v>6.8150250199369197E-2</v>
      </c>
      <c r="R42" s="6">
        <f>SQRT((kaalutegur R_5*[1]!juhe(R5,6)+jaitetegur R_5*[1]!Jaitekoormus_EN(R$5,JaideJ,hj))^2+(tuuletegur R_5*[1]!Tuulekoormus_en(R$5,Qj,hj,zo,R$4,JaideJ,jaitetegur R_5))^2)</f>
        <v>6.7959793267310484E-2</v>
      </c>
    </row>
    <row r="43" spans="1:18" x14ac:dyDescent="0.2">
      <c r="A43" s="172"/>
      <c r="B43" s="173"/>
      <c r="C43" s="76" t="s">
        <v>104</v>
      </c>
      <c r="D43" s="3">
        <f>[1]!Olekuvorrand(D$4,D$5,D$6,5,D$9,Lähteandmed!$C36,D42)</f>
        <v>118.66408586502075</v>
      </c>
      <c r="E43" s="3">
        <f>[1]!Olekuvorrand(E$4,E$5,E$6,5,E$9,Lähteandmed!$C36,E42)</f>
        <v>118.519127368927</v>
      </c>
      <c r="F43" s="3">
        <f>[1]!Olekuvorrand(F$4,F$5,F$6,5,F$9,Lähteandmed!$C36,F42)</f>
        <v>118.39812994003296</v>
      </c>
      <c r="G43" s="3">
        <f>[1]!Olekuvorrand(G$4,G$5,G$6,5,G$9,Lähteandmed!$C36,G42)</f>
        <v>114.2459511756897</v>
      </c>
      <c r="H43" s="3">
        <f>[1]!Olekuvorrand(H$4,H$5,H$6,5,H$9,Lähteandmed!$C36,H42)</f>
        <v>117.9773211479187</v>
      </c>
      <c r="I43" s="3">
        <f>[1]!Olekuvorrand(I$4,I$5,I$6,5,I$9,Lähteandmed!$C36,I42)</f>
        <v>117.64734983444214</v>
      </c>
      <c r="J43" s="3">
        <f>[1]!Olekuvorrand(J$4,J$5,J$6,5,J$9,Lähteandmed!$C36,J42)</f>
        <v>117.05809831619263</v>
      </c>
      <c r="K43" s="3">
        <f>[1]!Olekuvorrand(K$4,K$5,K$6,5,K$9,Lähteandmed!$C36,K42)</f>
        <v>119.47458982467651</v>
      </c>
      <c r="L43" s="3">
        <f>[1]!Olekuvorrand(L$4,L$5,L$6,5,L$9,Lähteandmed!$C36,L42)</f>
        <v>117.06680059432983</v>
      </c>
      <c r="M43" s="3">
        <f>[1]!Olekuvorrand(M$4,M$5,M$6,5,M$9,Lähteandmed!$C36,M42)</f>
        <v>119.37433481216431</v>
      </c>
      <c r="N43" s="3">
        <f>[1]!Olekuvorrand(N$4,N$5,N$6,5,N$9,Lähteandmed!$C36,N42)</f>
        <v>119.19349431991577</v>
      </c>
      <c r="O43" s="3">
        <f>[1]!Olekuvorrand(O$4,O$5,O$6,5,O$9,Lähteandmed!$C36,O42)</f>
        <v>117.0230507850647</v>
      </c>
      <c r="P43" s="3">
        <f>[1]!Olekuvorrand(P$4,P$5,P$6,5,P$9,Lähteandmed!$C36,P42)</f>
        <v>114.65197801589966</v>
      </c>
      <c r="Q43" s="3">
        <f>[1]!Olekuvorrand(Q$4,Q$5,Q$6,5,Q$9,Lähteandmed!$C36,Q42)</f>
        <v>115.29558897018433</v>
      </c>
      <c r="R43" s="3">
        <f>[1]!Olekuvorrand(R$4,R$5,R$6,5,R$9,Lähteandmed!$C36,R42)</f>
        <v>117.86097288131714</v>
      </c>
    </row>
    <row r="44" spans="1:18" x14ac:dyDescent="0.2">
      <c r="A44" s="172"/>
      <c r="B44" s="173"/>
      <c r="C44" s="76" t="s">
        <v>105</v>
      </c>
      <c r="D44" s="3">
        <f>[1]!ripe(D43,D$9+Lähteandmed!$E36*D$11,D$4,0)</f>
        <v>12.820850101176806</v>
      </c>
      <c r="E44" s="3">
        <f>[1]!ripe(E43,E$9+Lähteandmed!$E36*D$11,E$4,0)</f>
        <v>12.620572998694913</v>
      </c>
      <c r="F44" s="3">
        <f>[1]!ripe(F43,F$9+Lähteandmed!$E36*D$11,F$4,0)</f>
        <v>12.456997665267469</v>
      </c>
      <c r="G44" s="3">
        <f>[1]!ripe(G43,G$9+Lähteandmed!$E36*D$11,G$4,0)</f>
        <v>8.2867090305344693</v>
      </c>
      <c r="H44" s="3">
        <f>[1]!ripe(H43,H$9+Lähteandmed!$E36*D$11,H$4,0)</f>
        <v>11.912207743254468</v>
      </c>
      <c r="I44" s="3">
        <f>[1]!ripe(I43,I$9+Lähteandmed!$E36*D$11,I$4,0)</f>
        <v>11.509200978136432</v>
      </c>
      <c r="J44" s="3">
        <f>[1]!ripe(J43,J$9+Lähteandmed!$E36*D$11,J$4,0)</f>
        <v>10.83753372832752</v>
      </c>
      <c r="K44" s="3">
        <f>[1]!ripe(K43,K$9+Lähteandmed!$E36*D$11,K$4,0)</f>
        <v>14.035087164450905</v>
      </c>
      <c r="L44" s="3">
        <f>[1]!ripe(L43,L$9+Lähteandmed!$E36*D$11,L$4,0)</f>
        <v>10.84705521342306</v>
      </c>
      <c r="M44" s="3">
        <f>[1]!ripe(M43,M$9+Lähteandmed!$E36*D$11,M$4,0)</f>
        <v>13.875585076715531</v>
      </c>
      <c r="N44" s="3">
        <f>[1]!ripe(N43,N$9+Lähteandmed!$E36*D$11,N$4,0)</f>
        <v>13.594828860345833</v>
      </c>
      <c r="O44" s="3">
        <f>[1]!ripe(O43,O$9+Lähteandmed!$E36*D$11,O$4,0)</f>
        <v>10.799400301143411</v>
      </c>
      <c r="P44" s="3">
        <f>[1]!ripe(P43,P$9+Lähteandmed!$E36*D$11,P$4,0)</f>
        <v>8.6005927967602513</v>
      </c>
      <c r="Q44" s="3">
        <f>[1]!ripe(Q43,Q$9+Lähteandmed!$E36*D$11,Q$4,0)</f>
        <v>9.1314533595821477</v>
      </c>
      <c r="R44" s="3">
        <f>[1]!ripe(R43,R$9+Lähteandmed!$E36*D$11,R$4,0)</f>
        <v>11.767787497021345</v>
      </c>
    </row>
    <row r="45" spans="1:18" x14ac:dyDescent="0.2">
      <c r="A45" s="42"/>
      <c r="B45" s="173"/>
      <c r="C45" s="76" t="s">
        <v>49</v>
      </c>
      <c r="D45" s="50">
        <f t="shared" ref="D45:K45" si="33">D44/D$4^2*1000000</f>
        <v>64.106832776255757</v>
      </c>
      <c r="E45" s="50">
        <f t="shared" si="33"/>
        <v>64.185240627164532</v>
      </c>
      <c r="F45" s="50">
        <f t="shared" si="33"/>
        <v>64.250834983196725</v>
      </c>
      <c r="G45" s="50">
        <f t="shared" si="33"/>
        <v>66.585980779289685</v>
      </c>
      <c r="H45" s="50">
        <f t="shared" si="33"/>
        <v>64.480008827784289</v>
      </c>
      <c r="I45" s="50">
        <f t="shared" si="33"/>
        <v>64.660859082684425</v>
      </c>
      <c r="J45" s="50">
        <f t="shared" si="33"/>
        <v>64.986351380388356</v>
      </c>
      <c r="K45" s="50">
        <f t="shared" si="33"/>
        <v>63.671938277916048</v>
      </c>
      <c r="L45" s="50">
        <f t="shared" ref="L45:Q45" si="34">L44/L$4^2*1000000</f>
        <v>64.981520554723332</v>
      </c>
      <c r="M45" s="50">
        <f t="shared" si="34"/>
        <v>63.725412343164443</v>
      </c>
      <c r="N45" s="50">
        <f t="shared" si="34"/>
        <v>63.822096604353625</v>
      </c>
      <c r="O45" s="50">
        <f t="shared" si="34"/>
        <v>65.005814308056159</v>
      </c>
      <c r="P45" s="50">
        <f t="shared" si="34"/>
        <v>66.35017415958751</v>
      </c>
      <c r="Q45" s="50">
        <f t="shared" si="34"/>
        <v>65.979789661019652</v>
      </c>
      <c r="R45" s="50">
        <f t="shared" ref="R45" si="35">R44/R$4^2*1000000</f>
        <v>64.543661257203155</v>
      </c>
    </row>
    <row r="46" spans="1:18" ht="38.25" x14ac:dyDescent="0.2">
      <c r="A46" s="159">
        <v>6</v>
      </c>
      <c r="B46" s="174" t="str">
        <f>Lähteandmed!B39</f>
        <v>Suur tuul + mõõdukas jäide</v>
      </c>
      <c r="C46" s="77" t="s">
        <v>222</v>
      </c>
      <c r="D46" s="9">
        <f>SQRT((kaalutegur R_6*[1]!juhe(D5,6)+jaitetegur R_6*[1]!Jaitekoormus_EN(D$5,JaideJ,hj))^2+(tuuletegur R_6*[1]!Tuulekoormus_en(D$5,Qj,hj,zo,D$4,JaideJ,jaitetegur R_6))^2)</f>
        <v>6.4595388249495497E-2</v>
      </c>
      <c r="E46" s="9">
        <f>SQRT((kaalutegur R_6*[1]!juhe(E5,6)+jaitetegur R_6*[1]!Jaitekoormus_EN(E$5,JaideJ,hj))^2+(tuuletegur R_6*[1]!Tuulekoormus_en(E$5,Qj,hj,zo,E$4,JaideJ,jaitetegur R_6))^2)</f>
        <v>6.4630001524733957E-2</v>
      </c>
      <c r="F46" s="9">
        <f>SQRT((kaalutegur R_6*[1]!juhe(F5,6)+jaitetegur R_6*[1]!Jaitekoormus_EN(F$5,JaideJ,hj))^2+(tuuletegur R_6*[1]!Tuulekoormus_en(F$5,Qj,hj,zo,F$4,JaideJ,jaitetegur R_6))^2)</f>
        <v>6.4658708076537286E-2</v>
      </c>
      <c r="G46" s="9">
        <f>SQRT((kaalutegur R_6*[1]!juhe(G5,6)+jaitetegur R_6*[1]!Jaitekoormus_EN(G$5,JaideJ,hj))^2+(tuuletegur R_6*[1]!Tuulekoormus_en(G$5,Qj,hj,zo,G$4,JaideJ,jaitetegur R_6))^2)</f>
        <v>6.5567407665756153E-2</v>
      </c>
      <c r="H46" s="9">
        <f>SQRT((kaalutegur R_6*[1]!juhe(H5,6)+jaitetegur R_6*[1]!Jaitekoormus_EN(H$5,JaideJ,hj))^2+(tuuletegur R_6*[1]!Tuulekoormus_en(H$5,Qj,hj,zo,H$4,JaideJ,jaitetegur R_6))^2)</f>
        <v>6.475729082213133E-2</v>
      </c>
      <c r="I46" s="9">
        <f>SQRT((kaalutegur R_6*[1]!juhe(I5,6)+jaitetegur R_6*[1]!Jaitekoormus_EN(I$5,JaideJ,hj))^2+(tuuletegur R_6*[1]!Tuulekoormus_en(I$5,Qj,hj,zo,I$4,JaideJ,jaitetegur R_6))^2)</f>
        <v>6.4833350189284822E-2</v>
      </c>
      <c r="J46" s="9">
        <f>SQRT((kaalutegur R_6*[1]!juhe(J5,6)+jaitetegur R_6*[1]!Jaitekoormus_EN(J$5,JaideJ,hj))^2+(tuuletegur R_6*[1]!Tuulekoormus_en(J$5,Qj,hj,zo,J$4,JaideJ,jaitetegur R_6))^2)</f>
        <v>6.4966630408871906E-2</v>
      </c>
      <c r="K46" s="9">
        <f>SQRT((kaalutegur R_6*[1]!juhe(K5,6)+jaitetegur R_6*[1]!Jaitekoormus_EN(K$5,JaideJ,hj))^2+(tuuletegur R_6*[1]!Tuulekoormus_en(K$5,Qj,hj,zo,K$4,JaideJ,jaitetegur R_6))^2)</f>
        <v>6.4397125687991608E-2</v>
      </c>
      <c r="L46" s="9">
        <f>SQRT((kaalutegur R_6*[1]!juhe(L5,6)+jaitetegur R_6*[1]!Jaitekoormus_EN(L$5,JaideJ,hj))^2+(tuuletegur R_6*[1]!Tuulekoormus_en(L$5,Qj,hj,zo,L$4,JaideJ,jaitetegur R_6))^2)</f>
        <v>6.4964680665603777E-2</v>
      </c>
      <c r="M46" s="9">
        <f>SQRT((kaalutegur R_6*[1]!juhe(M5,6)+jaitetegur R_6*[1]!Jaitekoormus_EN(M$5,JaideJ,hj))^2+(tuuletegur R_6*[1]!Tuulekoormus_en(M$5,Qj,hj,zo,M$4,JaideJ,jaitetegur R_6))^2)</f>
        <v>6.4422105962784235E-2</v>
      </c>
      <c r="N46" s="9">
        <f>SQRT((kaalutegur R_6*[1]!juhe(N5,6)+jaitetegur R_6*[1]!Jaitekoormus_EN(N$5,JaideJ,hj))^2+(tuuletegur R_6*[1]!Tuulekoormus_en(N$5,Qj,hj,zo,N$4,JaideJ,jaitetegur R_6))^2)</f>
        <v>6.4466827193681867E-2</v>
      </c>
      <c r="O46" s="9">
        <f>SQRT((kaalutegur R_6*[1]!juhe(O5,6)+jaitetegur R_6*[1]!Jaitekoormus_EN(O$5,JaideJ,hj))^2+(tuuletegur R_6*[1]!Tuulekoormus_en(O$5,Qj,hj,zo,O$4,JaideJ,jaitetegur R_6))^2)</f>
        <v>6.4974458854575007E-2</v>
      </c>
      <c r="P46" s="9">
        <f>SQRT((kaalutegur R_6*[1]!juhe(P5,6)+jaitetegur R_6*[1]!Jaitekoormus_EN(P$5,JaideJ,hj))^2+(tuuletegur R_6*[1]!Tuulekoormus_en(P$5,Qj,hj,zo,P$4,JaideJ,jaitetegur R_6))^2)</f>
        <v>6.5483611185922136E-2</v>
      </c>
      <c r="Q46" s="9">
        <f>SQRT((kaalutegur R_6*[1]!juhe(Q5,6)+jaitetegur R_6*[1]!Jaitekoormus_EN(Q$5,JaideJ,hj))^2+(tuuletegur R_6*[1]!Tuulekoormus_en(Q$5,Qj,hj,zo,Q$4,JaideJ,jaitetegur R_6))^2)</f>
        <v>6.5348991641830403E-2</v>
      </c>
      <c r="R46" s="9">
        <f>SQRT((kaalutegur R_6*[1]!juhe(R5,6)+jaitetegur R_6*[1]!Jaitekoormus_EN(R$5,JaideJ,hj))^2+(tuuletegur R_6*[1]!Tuulekoormus_en(R$5,Qj,hj,zo,R$4,JaideJ,jaitetegur R_6))^2)</f>
        <v>6.4784228742690672E-2</v>
      </c>
    </row>
    <row r="47" spans="1:18" x14ac:dyDescent="0.2">
      <c r="A47" s="159"/>
      <c r="B47" s="174"/>
      <c r="C47" s="77" t="s">
        <v>104</v>
      </c>
      <c r="D47" s="22">
        <f>[1]!Olekuvorrand(D$4,D$5,D$6,5,D$9,Lähteandmed!$C39,D46)</f>
        <v>114.22175168991089</v>
      </c>
      <c r="E47" s="22">
        <f>[1]!Olekuvorrand(E$4,E$5,E$6,5,E$9,Lähteandmed!$C39,E46)</f>
        <v>114.12745714187622</v>
      </c>
      <c r="F47" s="22">
        <f>[1]!Olekuvorrand(F$4,F$5,F$6,5,F$9,Lähteandmed!$C39,F46)</f>
        <v>114.0483021736145</v>
      </c>
      <c r="G47" s="22">
        <f>[1]!Olekuvorrand(G$4,G$5,G$6,5,G$9,Lähteandmed!$C39,G46)</f>
        <v>111.13208532333374</v>
      </c>
      <c r="H47" s="22">
        <f>[1]!Olekuvorrand(H$4,H$5,H$6,5,H$9,Lähteandmed!$C39,H46)</f>
        <v>113.77006769180298</v>
      </c>
      <c r="I47" s="22">
        <f>[1]!Olekuvorrand(I$4,I$5,I$6,5,I$9,Lähteandmed!$C39,I46)</f>
        <v>113.54881525039673</v>
      </c>
      <c r="J47" s="22">
        <f>[1]!Olekuvorrand(J$4,J$5,J$6,5,J$9,Lähteandmed!$C39,J46)</f>
        <v>113.1470799446106</v>
      </c>
      <c r="K47" s="22">
        <f>[1]!Olekuvorrand(K$4,K$5,K$6,5,K$9,Lähteandmed!$C39,K46)</f>
        <v>114.73768949508667</v>
      </c>
      <c r="L47" s="22">
        <f>[1]!Olekuvorrand(L$4,L$5,L$6,5,L$9,Lähteandmed!$C39,L46)</f>
        <v>113.15315961837769</v>
      </c>
      <c r="M47" s="22">
        <f>[1]!Olekuvorrand(M$4,M$5,M$6,5,M$9,Lähteandmed!$C39,M46)</f>
        <v>114.67498540878296</v>
      </c>
      <c r="N47" s="22">
        <f>[1]!Olekuvorrand(N$4,N$5,N$6,5,N$9,Lähteandmed!$C39,N46)</f>
        <v>114.56102132797241</v>
      </c>
      <c r="O47" s="22">
        <f>[1]!Olekuvorrand(O$4,O$5,O$6,5,O$9,Lähteandmed!$C39,O46)</f>
        <v>113.12299966812134</v>
      </c>
      <c r="P47" s="22">
        <f>[1]!Olekuvorrand(P$4,P$5,P$6,5,P$9,Lähteandmed!$C39,P46)</f>
        <v>111.43201589584351</v>
      </c>
      <c r="Q47" s="22">
        <f>[1]!Olekuvorrand(Q$4,Q$5,Q$6,5,Q$9,Lähteandmed!$C39,Q46)</f>
        <v>111.90146207809448</v>
      </c>
      <c r="R47" s="22">
        <f>[1]!Olekuvorrand(R$4,R$5,R$6,5,R$9,Lähteandmed!$C39,R46)</f>
        <v>113.69234323501587</v>
      </c>
    </row>
    <row r="48" spans="1:18" x14ac:dyDescent="0.2">
      <c r="A48" s="159"/>
      <c r="B48" s="174"/>
      <c r="C48" s="77" t="s">
        <v>105</v>
      </c>
      <c r="D48" s="9">
        <f>[1]!ripe(D47,D$9+Lähteandmed!$E39*D$11,D$4,0)</f>
        <v>8.7631611341688398</v>
      </c>
      <c r="E48" s="9">
        <f>[1]!ripe(E47,E$9+Lähteandmed!$E39*D$11,E$4,0)</f>
        <v>8.6228507786278215</v>
      </c>
      <c r="F48" s="9">
        <f>[1]!ripe(F47,F$9+Lähteandmed!$E39*D$11,F$4,0)</f>
        <v>8.5083019610271187</v>
      </c>
      <c r="G48" s="9">
        <f>[1]!ripe(G47,G$9+Lähteandmed!$E39*D$11,G$4,0)</f>
        <v>5.6047589227771857</v>
      </c>
      <c r="H48" s="9">
        <f>[1]!ripe(H47,H$9+Lähteandmed!$E39*D$11,H$4,0)</f>
        <v>8.1271123952942297</v>
      </c>
      <c r="I48" s="9">
        <f>[1]!ripe(I47,I$9+Lähteandmed!$E39*D$11,I$4,0)</f>
        <v>7.845456312458567</v>
      </c>
      <c r="J48" s="9">
        <f>[1]!ripe(J47,J$9+Lähteandmed!$E39*D$11,J$4,0)</f>
        <v>7.3766991102676682</v>
      </c>
      <c r="K48" s="9">
        <f>[1]!ripe(K47,K$9+Lähteandmed!$E39*D$11,K$4,0)</f>
        <v>9.6151940918785517</v>
      </c>
      <c r="L48" s="9">
        <f>[1]!ripe(L47,L$9+Lähteandmed!$E39*D$11,L$4,0)</f>
        <v>7.3833321769886853</v>
      </c>
      <c r="M48" s="9">
        <f>[1]!ripe(M47,M$9+Lähteandmed!$E39*D$11,M$4,0)</f>
        <v>9.5031387180047133</v>
      </c>
      <c r="N48" s="9">
        <f>[1]!ripe(N47,N$9+Lähteandmed!$E39*D$11,N$4,0)</f>
        <v>9.3059971033708013</v>
      </c>
      <c r="O48" s="9">
        <f>[1]!ripe(O47,O$9+Lähteandmed!$E39*D$11,O$4,0)</f>
        <v>7.3501065658891749</v>
      </c>
      <c r="P48" s="9">
        <f>[1]!ripe(P47,P$9+Lähteandmed!$E39*D$11,P$4,0)</f>
        <v>5.8220166559923818</v>
      </c>
      <c r="Q48" s="9">
        <f>[1]!ripe(Q47,Q$9+Lähteandmed!$E39*D$11,Q$4,0)</f>
        <v>6.1899954465237936</v>
      </c>
      <c r="R48" s="9">
        <f>[1]!ripe(R47,R$9+Lähteandmed!$E39*D$11,R$4,0)</f>
        <v>8.0261470901400234</v>
      </c>
    </row>
    <row r="49" spans="1:18" x14ac:dyDescent="0.2">
      <c r="A49" s="39"/>
      <c r="B49" s="174"/>
      <c r="C49" s="77" t="s">
        <v>49</v>
      </c>
      <c r="D49" s="51">
        <f t="shared" ref="D49:K49" si="36">D48/D$4^2*1000000</f>
        <v>43.817570674816707</v>
      </c>
      <c r="E49" s="51">
        <f t="shared" si="36"/>
        <v>43.853773689640931</v>
      </c>
      <c r="F49" s="51">
        <f t="shared" si="36"/>
        <v>43.884210302886402</v>
      </c>
      <c r="G49" s="51">
        <f t="shared" si="36"/>
        <v>45.035775786195757</v>
      </c>
      <c r="H49" s="51">
        <f t="shared" si="36"/>
        <v>43.991532912084523</v>
      </c>
      <c r="I49" s="51">
        <f t="shared" si="36"/>
        <v>44.077251411538157</v>
      </c>
      <c r="J49" s="51">
        <f t="shared" si="36"/>
        <v>44.23375026314524</v>
      </c>
      <c r="K49" s="51">
        <f t="shared" si="36"/>
        <v>43.620537412759703</v>
      </c>
      <c r="L49" s="51">
        <f t="shared" ref="L49:Q49" si="37">L48/L$4^2*1000000</f>
        <v>44.231373601530123</v>
      </c>
      <c r="M49" s="51">
        <f t="shared" si="37"/>
        <v>43.644389048169074</v>
      </c>
      <c r="N49" s="51">
        <f t="shared" si="37"/>
        <v>43.687806020388379</v>
      </c>
      <c r="O49" s="51">
        <f t="shared" si="37"/>
        <v>44.243166216926689</v>
      </c>
      <c r="P49" s="51">
        <f t="shared" si="37"/>
        <v>44.914557428021205</v>
      </c>
      <c r="Q49" s="51">
        <f t="shared" si="37"/>
        <v>44.726133013178774</v>
      </c>
      <c r="R49" s="51">
        <f t="shared" ref="R49" si="38">R48/R$4^2*1000000</f>
        <v>44.021607215256864</v>
      </c>
    </row>
    <row r="50" spans="1:18" ht="38.25" x14ac:dyDescent="0.2">
      <c r="A50" s="172">
        <v>7</v>
      </c>
      <c r="B50" s="173" t="str">
        <f>Lähteandmed!B42</f>
        <v>EDS</v>
      </c>
      <c r="C50" s="76" t="s">
        <v>222</v>
      </c>
      <c r="D50" s="6">
        <f>SQRT((kaalutegur R_7*[1]!juhe(D5,6)+jaitetegur R_7*[1]!Jaitekoormus_EN(D$5,JaideJ,hj))^2+(tuuletegur R_7*[1]!Tuulekoormus_en(D$5,Qj,hj,zo,D$4,JaideJ,jaitetegur R_7))^2)</f>
        <v>3.3099999999999997E-2</v>
      </c>
      <c r="E50" s="6">
        <f>SQRT((kaalutegur R_7*[1]!juhe(E5,6)+jaitetegur R_7*[1]!Jaitekoormus_EN(E$5,JaideJ,hj))^2+(tuuletegur R_7*[1]!Tuulekoormus_en(E$5,Qj,hj,zo,E$4,JaideJ,jaitetegur R_7))^2)</f>
        <v>3.3099999999999997E-2</v>
      </c>
      <c r="F50" s="6">
        <f>SQRT((kaalutegur R_7*[1]!juhe(F5,6)+jaitetegur R_7*[1]!Jaitekoormus_EN(F$5,JaideJ,hj))^2+(tuuletegur R_7*[1]!Tuulekoormus_en(F$5,Qj,hj,zo,F$4,JaideJ,jaitetegur R_7))^2)</f>
        <v>3.3099999999999997E-2</v>
      </c>
      <c r="G50" s="6">
        <f>SQRT((kaalutegur R_7*[1]!juhe(G5,6)+jaitetegur R_7*[1]!Jaitekoormus_EN(G$5,JaideJ,hj))^2+(tuuletegur R_7*[1]!Tuulekoormus_en(G$5,Qj,hj,zo,G$4,JaideJ,jaitetegur R_7))^2)</f>
        <v>3.3099999999999997E-2</v>
      </c>
      <c r="H50" s="6">
        <f>SQRT((kaalutegur R_7*[1]!juhe(H5,6)+jaitetegur R_7*[1]!Jaitekoormus_EN(H$5,JaideJ,hj))^2+(tuuletegur R_7*[1]!Tuulekoormus_en(H$5,Qj,hj,zo,H$4,JaideJ,jaitetegur R_7))^2)</f>
        <v>3.3099999999999997E-2</v>
      </c>
      <c r="I50" s="6">
        <f>SQRT((kaalutegur R_7*[1]!juhe(I5,6)+jaitetegur R_7*[1]!Jaitekoormus_EN(I$5,JaideJ,hj))^2+(tuuletegur R_7*[1]!Tuulekoormus_en(I$5,Qj,hj,zo,I$4,JaideJ,jaitetegur R_7))^2)</f>
        <v>3.3099999999999997E-2</v>
      </c>
      <c r="J50" s="6">
        <f>SQRT((kaalutegur R_7*[1]!juhe(J5,6)+jaitetegur R_7*[1]!Jaitekoormus_EN(J$5,JaideJ,hj))^2+(tuuletegur R_7*[1]!Tuulekoormus_en(J$5,Qj,hj,zo,J$4,JaideJ,jaitetegur R_7))^2)</f>
        <v>3.3099999999999997E-2</v>
      </c>
      <c r="K50" s="6">
        <f>SQRT((kaalutegur R_7*[1]!juhe(K5,6)+jaitetegur R_7*[1]!Jaitekoormus_EN(K$5,JaideJ,hj))^2+(tuuletegur R_7*[1]!Tuulekoormus_en(K$5,Qj,hj,zo,K$4,JaideJ,jaitetegur R_7))^2)</f>
        <v>3.3099999999999997E-2</v>
      </c>
      <c r="L50" s="6">
        <f>SQRT((kaalutegur R_7*[1]!juhe(L5,6)+jaitetegur R_7*[1]!Jaitekoormus_EN(L$5,JaideJ,hj))^2+(tuuletegur R_7*[1]!Tuulekoormus_en(L$5,Qj,hj,zo,L$4,JaideJ,jaitetegur R_7))^2)</f>
        <v>3.3099999999999997E-2</v>
      </c>
      <c r="M50" s="6">
        <f>SQRT((kaalutegur R_7*[1]!juhe(M5,6)+jaitetegur R_7*[1]!Jaitekoormus_EN(M$5,JaideJ,hj))^2+(tuuletegur R_7*[1]!Tuulekoormus_en(M$5,Qj,hj,zo,M$4,JaideJ,jaitetegur R_7))^2)</f>
        <v>3.3099999999999997E-2</v>
      </c>
      <c r="N50" s="6">
        <f>SQRT((kaalutegur R_7*[1]!juhe(N5,6)+jaitetegur R_7*[1]!Jaitekoormus_EN(N$5,JaideJ,hj))^2+(tuuletegur R_7*[1]!Tuulekoormus_en(N$5,Qj,hj,zo,N$4,JaideJ,jaitetegur R_7))^2)</f>
        <v>3.3099999999999997E-2</v>
      </c>
      <c r="O50" s="6">
        <f>SQRT((kaalutegur R_7*[1]!juhe(O5,6)+jaitetegur R_7*[1]!Jaitekoormus_EN(O$5,JaideJ,hj))^2+(tuuletegur R_7*[1]!Tuulekoormus_en(O$5,Qj,hj,zo,O$4,JaideJ,jaitetegur R_7))^2)</f>
        <v>3.3099999999999997E-2</v>
      </c>
      <c r="P50" s="6">
        <f>SQRT((kaalutegur R_7*[1]!juhe(P5,6)+jaitetegur R_7*[1]!Jaitekoormus_EN(P$5,JaideJ,hj))^2+(tuuletegur R_7*[1]!Tuulekoormus_en(P$5,Qj,hj,zo,P$4,JaideJ,jaitetegur R_7))^2)</f>
        <v>3.3099999999999997E-2</v>
      </c>
      <c r="Q50" s="6">
        <f>SQRT((kaalutegur R_7*[1]!juhe(Q5,6)+jaitetegur R_7*[1]!Jaitekoormus_EN(Q$5,JaideJ,hj))^2+(tuuletegur R_7*[1]!Tuulekoormus_en(Q$5,Qj,hj,zo,Q$4,JaideJ,jaitetegur R_7))^2)</f>
        <v>3.3099999999999997E-2</v>
      </c>
      <c r="R50" s="6">
        <f>SQRT((kaalutegur R_7*[1]!juhe(R5,6)+jaitetegur R_7*[1]!Jaitekoormus_EN(R$5,JaideJ,hj))^2+(tuuletegur R_7*[1]!Tuulekoormus_en(R$5,Qj,hj,zo,R$4,JaideJ,jaitetegur R_7))^2)</f>
        <v>3.3099999999999997E-2</v>
      </c>
    </row>
    <row r="51" spans="1:18" x14ac:dyDescent="0.2">
      <c r="A51" s="172"/>
      <c r="B51" s="173"/>
      <c r="C51" s="76" t="s">
        <v>104</v>
      </c>
      <c r="D51" s="3">
        <f>[1]!Olekuvorrand(D$4,D$5,D$6,5,D$9,Lähteandmed!$C42,D50)</f>
        <v>64.999997615814209</v>
      </c>
      <c r="E51" s="3">
        <f>[1]!Olekuvorrand(E$4,E$5,E$6,5,E$9,Lähteandmed!$C42,E50)</f>
        <v>64.999997615814209</v>
      </c>
      <c r="F51" s="3">
        <f>[1]!Olekuvorrand(F$4,F$5,F$6,5,F$9,Lähteandmed!$C42,F50)</f>
        <v>64.999997615814209</v>
      </c>
      <c r="G51" s="3">
        <f>[1]!Olekuvorrand(G$4,G$5,G$6,5,G$9,Lähteandmed!$C42,G50)</f>
        <v>64.999997615814209</v>
      </c>
      <c r="H51" s="3">
        <f>[1]!Olekuvorrand(H$4,H$5,H$6,5,H$9,Lähteandmed!$C42,H50)</f>
        <v>64.999997615814209</v>
      </c>
      <c r="I51" s="3">
        <f>[1]!Olekuvorrand(I$4,I$5,I$6,5,I$9,Lähteandmed!$C42,I50)</f>
        <v>64.999997615814209</v>
      </c>
      <c r="J51" s="3">
        <f>[1]!Olekuvorrand(J$4,J$5,J$6,5,J$9,Lähteandmed!$C42,J50)</f>
        <v>64.999997615814209</v>
      </c>
      <c r="K51" s="3">
        <f>[1]!Olekuvorrand(K$4,K$5,K$6,5,K$9,Lähteandmed!$C42,K50)</f>
        <v>64.999997615814209</v>
      </c>
      <c r="L51" s="3">
        <f>[1]!Olekuvorrand(L$4,L$5,L$6,5,L$9,Lähteandmed!$C42,L50)</f>
        <v>64.999997615814209</v>
      </c>
      <c r="M51" s="3">
        <f>[1]!Olekuvorrand(M$4,M$5,M$6,5,M$9,Lähteandmed!$C42,M50)</f>
        <v>64.999997615814209</v>
      </c>
      <c r="N51" s="3">
        <f>[1]!Olekuvorrand(N$4,N$5,N$6,5,N$9,Lähteandmed!$C42,N50)</f>
        <v>64.999997615814209</v>
      </c>
      <c r="O51" s="3">
        <f>[1]!Olekuvorrand(O$4,O$5,O$6,5,O$9,Lähteandmed!$C42,O50)</f>
        <v>64.999997615814209</v>
      </c>
      <c r="P51" s="3">
        <f>[1]!Olekuvorrand(P$4,P$5,P$6,5,P$9,Lähteandmed!$C42,P50)</f>
        <v>64.999997615814209</v>
      </c>
      <c r="Q51" s="3">
        <f>[1]!Olekuvorrand(Q$4,Q$5,Q$6,5,Q$9,Lähteandmed!$C42,Q50)</f>
        <v>64.999997615814209</v>
      </c>
      <c r="R51" s="3">
        <f>[1]!Olekuvorrand(R$4,R$5,R$6,5,R$9,Lähteandmed!$C42,R50)</f>
        <v>64.999997615814209</v>
      </c>
    </row>
    <row r="52" spans="1:18" x14ac:dyDescent="0.2">
      <c r="A52" s="172"/>
      <c r="B52" s="173"/>
      <c r="C52" s="76" t="s">
        <v>105</v>
      </c>
      <c r="D52" s="3">
        <f>[1]!ripe(D51,D$9+Lähteandmed!$E42*D$11,D$4,0)</f>
        <v>12.730256892964784</v>
      </c>
      <c r="E52" s="3">
        <f>[1]!ripe(E51,E$9+Lähteandmed!$E42*D$11,E$4,0)</f>
        <v>12.516086777104761</v>
      </c>
      <c r="F52" s="3">
        <f>[1]!ripe(F51,F$9+Lähteandmed!$E42*D$11,F$4,0)</f>
        <v>12.34125349835287</v>
      </c>
      <c r="G52" s="3">
        <f>[1]!ripe(G51,G$9+Lähteandmed!$E42*D$11,G$4,0)</f>
        <v>7.9218014802190408</v>
      </c>
      <c r="H52" s="3">
        <f>[1]!ripe(H51,H$9+Lähteandmed!$E42*D$11,H$4,0)</f>
        <v>11.759580692361443</v>
      </c>
      <c r="I52" s="3">
        <f>[1]!ripe(I51,I$9+Lähteandmed!$E42*D$11,I$4,0)</f>
        <v>11.329959819292995</v>
      </c>
      <c r="J52" s="3">
        <f>[1]!ripe(J51,J$9+Lähteandmed!$E42*D$11,J$4,0)</f>
        <v>10.615317143990891</v>
      </c>
      <c r="K52" s="3">
        <f>[1]!ripe(K51,K$9+Lähteandmed!$E42*D$11,K$4,0)</f>
        <v>14.031099665783099</v>
      </c>
      <c r="L52" s="3">
        <f>[1]!ripe(L51,L$9+Lähteandmed!$E42*D$11,L$4,0)</f>
        <v>10.625433249470548</v>
      </c>
      <c r="M52" s="3">
        <f>[1]!ripe(M51,M$9+Lähteandmed!$E42*D$11,M$4,0)</f>
        <v>13.860002747545016</v>
      </c>
      <c r="N52" s="3">
        <f>[1]!ripe(N51,N$9+Lähteandmed!$E42*D$11,N$4,0)</f>
        <v>13.558990107614587</v>
      </c>
      <c r="O52" s="3">
        <f>[1]!ripe(O51,O$9+Lähteandmed!$E42*D$11,O$4,0)</f>
        <v>10.574798544630029</v>
      </c>
      <c r="P52" s="3">
        <f>[1]!ripe(P51,P$9+Lähteandmed!$E42*D$11,P$4,0)</f>
        <v>8.2510835537647296</v>
      </c>
      <c r="Q52" s="3">
        <f>[1]!ripe(Q51,Q$9+Lähteandmed!$E42*D$11,Q$4,0)</f>
        <v>8.8095483725899868</v>
      </c>
      <c r="R52" s="3">
        <f>[1]!ripe(R51,R$9+Lähteandmed!$E42*D$11,R$4,0)</f>
        <v>11.605554252602822</v>
      </c>
    </row>
    <row r="53" spans="1:18" x14ac:dyDescent="0.2">
      <c r="A53" s="42"/>
      <c r="B53" s="173"/>
      <c r="C53" s="76" t="s">
        <v>49</v>
      </c>
      <c r="D53" s="50">
        <f t="shared" ref="D53:K53" si="39">D52/D$4^2*1000000</f>
        <v>63.653848488655406</v>
      </c>
      <c r="E53" s="50">
        <f t="shared" si="39"/>
        <v>63.653848488655392</v>
      </c>
      <c r="F53" s="50">
        <f t="shared" si="39"/>
        <v>63.653848488655406</v>
      </c>
      <c r="G53" s="50">
        <f t="shared" si="39"/>
        <v>63.653848488655392</v>
      </c>
      <c r="H53" s="50">
        <f t="shared" si="39"/>
        <v>63.653848488655392</v>
      </c>
      <c r="I53" s="50">
        <f t="shared" si="39"/>
        <v>63.653848488655406</v>
      </c>
      <c r="J53" s="50">
        <f t="shared" si="39"/>
        <v>63.653848488655406</v>
      </c>
      <c r="K53" s="50">
        <f t="shared" si="39"/>
        <v>63.653848488655406</v>
      </c>
      <c r="L53" s="50">
        <f t="shared" ref="L53:Q53" si="40">L52/L$4^2*1000000</f>
        <v>63.653848488655406</v>
      </c>
      <c r="M53" s="50">
        <f t="shared" si="40"/>
        <v>63.653848488655392</v>
      </c>
      <c r="N53" s="50">
        <f t="shared" si="40"/>
        <v>63.653848488655406</v>
      </c>
      <c r="O53" s="50">
        <f t="shared" si="40"/>
        <v>63.653848488655406</v>
      </c>
      <c r="P53" s="50">
        <f t="shared" si="40"/>
        <v>63.653848488655406</v>
      </c>
      <c r="Q53" s="50">
        <f t="shared" si="40"/>
        <v>63.653848488655392</v>
      </c>
      <c r="R53" s="50">
        <f t="shared" ref="R53" si="41">R52/R$4^2*1000000</f>
        <v>63.653848488655392</v>
      </c>
    </row>
    <row r="54" spans="1:18" ht="38.25" x14ac:dyDescent="0.2">
      <c r="A54" s="159">
        <v>8</v>
      </c>
      <c r="B54" s="174" t="str">
        <f>Lähteandmed!B45</f>
        <v>T+35</v>
      </c>
      <c r="C54" s="77" t="s">
        <v>222</v>
      </c>
      <c r="D54" s="9">
        <f>SQRT((kaalutegur R_8*[1]!juhe(D5,6)+jaitetegur R_8*[1]!Jaitekoormus_EN(D$5,JaideJ,hj))^2+(tuuletegur R_8*[1]!Tuulekoormus_en(D$5,Qj,hj,zo,D$4,JaideJ,jaitetegur R_8))^2)</f>
        <v>3.3099999999999997E-2</v>
      </c>
      <c r="E54" s="9">
        <f>SQRT((kaalutegur R_8*[1]!juhe(E5,6)+jaitetegur R_8*[1]!Jaitekoormus_EN(E$5,JaideJ,hj))^2+(tuuletegur R_8*[1]!Tuulekoormus_en(E$5,Qj,hj,zo,E$4,JaideJ,jaitetegur R_8))^2)</f>
        <v>3.3099999999999997E-2</v>
      </c>
      <c r="F54" s="9">
        <f>SQRT((kaalutegur R_8*[1]!juhe(F5,6)+jaitetegur R_8*[1]!Jaitekoormus_EN(F$5,JaideJ,hj))^2+(tuuletegur R_8*[1]!Tuulekoormus_en(F$5,Qj,hj,zo,F$4,JaideJ,jaitetegur R_8))^2)</f>
        <v>3.3099999999999997E-2</v>
      </c>
      <c r="G54" s="9">
        <f>SQRT((kaalutegur R_8*[1]!juhe(G5,6)+jaitetegur R_8*[1]!Jaitekoormus_EN(G$5,JaideJ,hj))^2+(tuuletegur R_8*[1]!Tuulekoormus_en(G$5,Qj,hj,zo,G$4,JaideJ,jaitetegur R_8))^2)</f>
        <v>3.3099999999999997E-2</v>
      </c>
      <c r="H54" s="9">
        <f>SQRT((kaalutegur R_8*[1]!juhe(H5,6)+jaitetegur R_8*[1]!Jaitekoormus_EN(H$5,JaideJ,hj))^2+(tuuletegur R_8*[1]!Tuulekoormus_en(H$5,Qj,hj,zo,H$4,JaideJ,jaitetegur R_8))^2)</f>
        <v>3.3099999999999997E-2</v>
      </c>
      <c r="I54" s="9">
        <f>SQRT((kaalutegur R_8*[1]!juhe(I5,6)+jaitetegur R_8*[1]!Jaitekoormus_EN(I$5,JaideJ,hj))^2+(tuuletegur R_8*[1]!Tuulekoormus_en(I$5,Qj,hj,zo,I$4,JaideJ,jaitetegur R_8))^2)</f>
        <v>3.3099999999999997E-2</v>
      </c>
      <c r="J54" s="9">
        <f>SQRT((kaalutegur R_8*[1]!juhe(J5,6)+jaitetegur R_8*[1]!Jaitekoormus_EN(J$5,JaideJ,hj))^2+(tuuletegur R_8*[1]!Tuulekoormus_en(J$5,Qj,hj,zo,J$4,JaideJ,jaitetegur R_8))^2)</f>
        <v>3.3099999999999997E-2</v>
      </c>
      <c r="K54" s="9">
        <f>SQRT((kaalutegur R_8*[1]!juhe(K5,6)+jaitetegur R_8*[1]!Jaitekoormus_EN(K$5,JaideJ,hj))^2+(tuuletegur R_8*[1]!Tuulekoormus_en(K$5,Qj,hj,zo,K$4,JaideJ,jaitetegur R_8))^2)</f>
        <v>3.3099999999999997E-2</v>
      </c>
      <c r="L54" s="9">
        <f>SQRT((kaalutegur R_8*[1]!juhe(L5,6)+jaitetegur R_8*[1]!Jaitekoormus_EN(L$5,JaideJ,hj))^2+(tuuletegur R_8*[1]!Tuulekoormus_en(L$5,Qj,hj,zo,L$4,JaideJ,jaitetegur R_8))^2)</f>
        <v>3.3099999999999997E-2</v>
      </c>
      <c r="M54" s="9">
        <f>SQRT((kaalutegur R_8*[1]!juhe(M5,6)+jaitetegur R_8*[1]!Jaitekoormus_EN(M$5,JaideJ,hj))^2+(tuuletegur R_8*[1]!Tuulekoormus_en(M$5,Qj,hj,zo,M$4,JaideJ,jaitetegur R_8))^2)</f>
        <v>3.3099999999999997E-2</v>
      </c>
      <c r="N54" s="9">
        <f>SQRT((kaalutegur R_8*[1]!juhe(N5,6)+jaitetegur R_8*[1]!Jaitekoormus_EN(N$5,JaideJ,hj))^2+(tuuletegur R_8*[1]!Tuulekoormus_en(N$5,Qj,hj,zo,N$4,JaideJ,jaitetegur R_8))^2)</f>
        <v>3.3099999999999997E-2</v>
      </c>
      <c r="O54" s="9">
        <f>SQRT((kaalutegur R_8*[1]!juhe(O5,6)+jaitetegur R_8*[1]!Jaitekoormus_EN(O$5,JaideJ,hj))^2+(tuuletegur R_8*[1]!Tuulekoormus_en(O$5,Qj,hj,zo,O$4,JaideJ,jaitetegur R_8))^2)</f>
        <v>3.3099999999999997E-2</v>
      </c>
      <c r="P54" s="9">
        <f>SQRT((kaalutegur R_8*[1]!juhe(P5,6)+jaitetegur R_8*[1]!Jaitekoormus_EN(P$5,JaideJ,hj))^2+(tuuletegur R_8*[1]!Tuulekoormus_en(P$5,Qj,hj,zo,P$4,JaideJ,jaitetegur R_8))^2)</f>
        <v>3.3099999999999997E-2</v>
      </c>
      <c r="Q54" s="9">
        <f>SQRT((kaalutegur R_8*[1]!juhe(Q5,6)+jaitetegur R_8*[1]!Jaitekoormus_EN(Q$5,JaideJ,hj))^2+(tuuletegur R_8*[1]!Tuulekoormus_en(Q$5,Qj,hj,zo,Q$4,JaideJ,jaitetegur R_8))^2)</f>
        <v>3.3099999999999997E-2</v>
      </c>
      <c r="R54" s="9">
        <f>SQRT((kaalutegur R_8*[1]!juhe(R5,6)+jaitetegur R_8*[1]!Jaitekoormus_EN(R$5,JaideJ,hj))^2+(tuuletegur R_8*[1]!Tuulekoormus_en(R$5,Qj,hj,zo,R$4,JaideJ,jaitetegur R_8))^2)</f>
        <v>3.3099999999999997E-2</v>
      </c>
    </row>
    <row r="55" spans="1:18" x14ac:dyDescent="0.2">
      <c r="A55" s="159"/>
      <c r="B55" s="174"/>
      <c r="C55" s="77" t="s">
        <v>104</v>
      </c>
      <c r="D55" s="22">
        <f>[1]!Olekuvorrand(D$4,D$5,D$6,5,D$9,Lähteandmed!$C45,D54)</f>
        <v>58.662593364715576</v>
      </c>
      <c r="E55" s="22">
        <f>[1]!Olekuvorrand(E$4,E$5,E$6,5,E$9,Lähteandmed!$C45,E54)</f>
        <v>58.5823655128479</v>
      </c>
      <c r="F55" s="22">
        <f>[1]!Olekuvorrand(F$4,F$5,F$6,5,F$9,Lähteandmed!$C45,F54)</f>
        <v>58.515489101409912</v>
      </c>
      <c r="G55" s="22">
        <f>[1]!Olekuvorrand(G$4,G$5,G$6,5,G$9,Lähteandmed!$C45,G54)</f>
        <v>56.160390377044678</v>
      </c>
      <c r="H55" s="22">
        <f>[1]!Olekuvorrand(H$4,H$5,H$6,5,H$9,Lähteandmed!$C45,H54)</f>
        <v>58.281838893890381</v>
      </c>
      <c r="I55" s="22">
        <f>[1]!Olekuvorrand(I$4,I$5,I$6,5,I$9,Lähteandmed!$C45,I54)</f>
        <v>58.097898960113525</v>
      </c>
      <c r="J55" s="22">
        <f>[1]!Olekuvorrand(J$4,J$5,J$6,5,J$9,Lähteandmed!$C45,J54)</f>
        <v>57.767808437347412</v>
      </c>
      <c r="K55" s="22">
        <f>[1]!Olekuvorrand(K$4,K$5,K$6,5,K$9,Lähteandmed!$C45,K54)</f>
        <v>59.108555316925049</v>
      </c>
      <c r="L55" s="22">
        <f>[1]!Olekuvorrand(L$4,L$5,L$6,5,L$9,Lähteandmed!$C45,L54)</f>
        <v>57.772696018218994</v>
      </c>
      <c r="M55" s="22">
        <f>[1]!Olekuvorrand(M$4,M$5,M$6,5,M$9,Lähteandmed!$C45,M54)</f>
        <v>59.053599834442139</v>
      </c>
      <c r="N55" s="22">
        <f>[1]!Olekuvorrand(N$4,N$5,N$6,5,N$9,Lähteandmed!$C45,N54)</f>
        <v>58.954298496246338</v>
      </c>
      <c r="O55" s="22">
        <f>[1]!Olekuvorrand(O$4,O$5,O$6,5,O$9,Lähteandmed!$C45,O54)</f>
        <v>57.748019695281982</v>
      </c>
      <c r="P55" s="22">
        <f>[1]!Olekuvorrand(P$4,P$5,P$6,5,P$9,Lähteandmed!$C45,P54)</f>
        <v>56.395947933197021</v>
      </c>
      <c r="Q55" s="22">
        <f>[1]!Olekuvorrand(Q$4,Q$5,Q$6,5,Q$9,Lähteandmed!$C45,Q54)</f>
        <v>56.766808032989502</v>
      </c>
      <c r="R55" s="22">
        <f>[1]!Olekuvorrand(R$4,R$5,R$6,5,R$9,Lähteandmed!$C45,R54)</f>
        <v>58.217108249664307</v>
      </c>
    </row>
    <row r="56" spans="1:18" x14ac:dyDescent="0.2">
      <c r="A56" s="159"/>
      <c r="B56" s="174"/>
      <c r="C56" s="77" t="s">
        <v>105</v>
      </c>
      <c r="D56" s="9">
        <f>[1]!ripe(D55,D$9+Lähteandmed!$E45*D$11,D$4,0)</f>
        <v>14.105524836703157</v>
      </c>
      <c r="E56" s="9">
        <f>[1]!ripe(E55,E$9+Lähteandmed!$E45*D$11,E$4,0)</f>
        <v>13.887209974351611</v>
      </c>
      <c r="F56" s="9">
        <f>[1]!ripe(F55,F$9+Lähteandmed!$E45*D$11,F$4,0)</f>
        <v>13.708873672385778</v>
      </c>
      <c r="G56" s="9">
        <f>[1]!ripe(G55,G$9+Lähteandmed!$E45*D$11,G$4,0)</f>
        <v>9.1686876439103475</v>
      </c>
      <c r="H56" s="9">
        <f>[1]!ripe(H55,H$9+Lähteandmed!$E45*D$11,H$4,0)</f>
        <v>13.115109809045455</v>
      </c>
      <c r="I56" s="9">
        <f>[1]!ripe(I55,I$9+Lähteandmed!$E45*D$11,I$4,0)</f>
        <v>12.675972357398248</v>
      </c>
      <c r="J56" s="9">
        <f>[1]!ripe(J55,J$9+Lähteandmed!$E45*D$11,J$4,0)</f>
        <v>11.944292292113875</v>
      </c>
      <c r="K56" s="9">
        <f>[1]!ripe(K55,K$9+Lähteandmed!$E45*D$11,K$4,0)</f>
        <v>15.429601348453295</v>
      </c>
      <c r="L56" s="9">
        <f>[1]!ripe(L55,L$9+Lähteandmed!$E45*D$11,L$4,0)</f>
        <v>11.954663422056273</v>
      </c>
      <c r="M56" s="9">
        <f>[1]!ripe(M55,M$9+Lähteandmed!$E45*D$11,M$4,0)</f>
        <v>15.255634678856069</v>
      </c>
      <c r="N56" s="9">
        <f>[1]!ripe(N55,N$9+Lähteandmed!$E45*D$11,N$4,0)</f>
        <v>14.949449779712193</v>
      </c>
      <c r="O56" s="9">
        <f>[1]!ripe(O55,O$9+Lähteandmed!$E45*D$11,O$4,0)</f>
        <v>11.902778377780891</v>
      </c>
      <c r="P56" s="9">
        <f>[1]!ripe(P55,P$9+Lähteandmed!$E45*D$11,P$4,0)</f>
        <v>9.509910392106212</v>
      </c>
      <c r="Q56" s="9">
        <f>[1]!ripe(Q55,Q$9+Lähteandmed!$E45*D$11,Q$4,0)</f>
        <v>10.087243638606138</v>
      </c>
      <c r="R56" s="9">
        <f>[1]!ripe(R55,R$9+Lähteandmed!$E45*D$11,R$4,0)</f>
        <v>12.957720186208935</v>
      </c>
    </row>
    <row r="57" spans="1:18" x14ac:dyDescent="0.2">
      <c r="A57" s="39"/>
      <c r="B57" s="174"/>
      <c r="C57" s="77" t="s">
        <v>49</v>
      </c>
      <c r="D57" s="51">
        <f t="shared" ref="D57:K57" si="42">D56/D$4^2*1000000</f>
        <v>70.530465202525917</v>
      </c>
      <c r="E57" s="51">
        <f t="shared" si="42"/>
        <v>70.627055834619554</v>
      </c>
      <c r="F57" s="51">
        <f t="shared" si="42"/>
        <v>70.70777436089665</v>
      </c>
      <c r="G57" s="51">
        <f t="shared" si="42"/>
        <v>73.672920936304337</v>
      </c>
      <c r="H57" s="51">
        <f t="shared" si="42"/>
        <v>70.991239784538251</v>
      </c>
      <c r="I57" s="51">
        <f t="shared" si="42"/>
        <v>71.216000476033656</v>
      </c>
      <c r="J57" s="51">
        <f t="shared" si="42"/>
        <v>71.62293519386948</v>
      </c>
      <c r="K57" s="51">
        <f t="shared" si="42"/>
        <v>69.998327277934237</v>
      </c>
      <c r="L57" s="51">
        <f t="shared" ref="L57:Q57" si="43">L56/L$4^2*1000000</f>
        <v>71.616875880177247</v>
      </c>
      <c r="M57" s="51">
        <f t="shared" si="43"/>
        <v>70.063467961302237</v>
      </c>
      <c r="N57" s="51">
        <f t="shared" si="43"/>
        <v>70.181481342932742</v>
      </c>
      <c r="O57" s="51">
        <f t="shared" si="43"/>
        <v>71.647478508047158</v>
      </c>
      <c r="P57" s="51">
        <f t="shared" si="43"/>
        <v>73.365200012259976</v>
      </c>
      <c r="Q57" s="51">
        <f t="shared" si="43"/>
        <v>72.885901874129161</v>
      </c>
      <c r="R57" s="51">
        <f t="shared" ref="R57" si="44">R56/R$4^2*1000000</f>
        <v>71.070173775315553</v>
      </c>
    </row>
    <row r="58" spans="1:18" ht="38.25" x14ac:dyDescent="0.2">
      <c r="A58" s="172">
        <v>9</v>
      </c>
      <c r="B58" s="173" t="str">
        <f>Lähteandmed!B48</f>
        <v>T +15</v>
      </c>
      <c r="C58" s="76" t="s">
        <v>222</v>
      </c>
      <c r="D58" s="6">
        <f>SQRT((kaalutegur R_9*[1]!juhe(D5,6)+jaitetegur R_9*[1]!Jaitekoormus_EN(D$5,JaideJ,hj))^2+(tuuletegur R_9*[1]!Tuulekoormus_en(D$5,Qj,hj,zo,D$4,JaideJ,jaitetegur R_9))^2)</f>
        <v>3.3099999999999997E-2</v>
      </c>
      <c r="E58" s="6">
        <f>SQRT((kaalutegur R_9*[1]!juhe(E5,6)+jaitetegur R_9*[1]!Jaitekoormus_EN(E$5,JaideJ,hj))^2+(tuuletegur R_9*[1]!Tuulekoormus_en(E$5,Qj,hj,zo,E$4,JaideJ,jaitetegur R_9))^2)</f>
        <v>3.3099999999999997E-2</v>
      </c>
      <c r="F58" s="6">
        <f>SQRT((kaalutegur R_9*[1]!juhe(F5,6)+jaitetegur R_9*[1]!Jaitekoormus_EN(F$5,JaideJ,hj))^2+(tuuletegur R_9*[1]!Tuulekoormus_en(F$5,Qj,hj,zo,F$4,JaideJ,jaitetegur R_9))^2)</f>
        <v>3.3099999999999997E-2</v>
      </c>
      <c r="G58" s="6">
        <f>SQRT((kaalutegur R_9*[1]!juhe(G5,6)+jaitetegur R_9*[1]!Jaitekoormus_EN(G$5,JaideJ,hj))^2+(tuuletegur R_9*[1]!Tuulekoormus_en(G$5,Qj,hj,zo,G$4,JaideJ,jaitetegur R_9))^2)</f>
        <v>3.3099999999999997E-2</v>
      </c>
      <c r="H58" s="6">
        <f>SQRT((kaalutegur R_9*[1]!juhe(H5,6)+jaitetegur R_9*[1]!Jaitekoormus_EN(H$5,JaideJ,hj))^2+(tuuletegur R_9*[1]!Tuulekoormus_en(H$5,Qj,hj,zo,H$4,JaideJ,jaitetegur R_9))^2)</f>
        <v>3.3099999999999997E-2</v>
      </c>
      <c r="I58" s="6">
        <f>SQRT((kaalutegur R_9*[1]!juhe(I5,6)+jaitetegur R_9*[1]!Jaitekoormus_EN(I$5,JaideJ,hj))^2+(tuuletegur R_9*[1]!Tuulekoormus_en(I$5,Qj,hj,zo,I$4,JaideJ,jaitetegur R_9))^2)</f>
        <v>3.3099999999999997E-2</v>
      </c>
      <c r="J58" s="6">
        <f>SQRT((kaalutegur R_9*[1]!juhe(J5,6)+jaitetegur R_9*[1]!Jaitekoormus_EN(J$5,JaideJ,hj))^2+(tuuletegur R_9*[1]!Tuulekoormus_en(J$5,Qj,hj,zo,J$4,JaideJ,jaitetegur R_9))^2)</f>
        <v>3.3099999999999997E-2</v>
      </c>
      <c r="K58" s="6">
        <f>SQRT((kaalutegur R_9*[1]!juhe(K5,6)+jaitetegur R_9*[1]!Jaitekoormus_EN(K$5,JaideJ,hj))^2+(tuuletegur R_9*[1]!Tuulekoormus_en(K$5,Qj,hj,zo,K$4,JaideJ,jaitetegur R_9))^2)</f>
        <v>3.3099999999999997E-2</v>
      </c>
      <c r="L58" s="6">
        <f>SQRT((kaalutegur R_9*[1]!juhe(L5,6)+jaitetegur R_9*[1]!Jaitekoormus_EN(L$5,JaideJ,hj))^2+(tuuletegur R_9*[1]!Tuulekoormus_en(L$5,Qj,hj,zo,L$4,JaideJ,jaitetegur R_9))^2)</f>
        <v>3.3099999999999997E-2</v>
      </c>
      <c r="M58" s="6">
        <f>SQRT((kaalutegur R_9*[1]!juhe(M5,6)+jaitetegur R_9*[1]!Jaitekoormus_EN(M$5,JaideJ,hj))^2+(tuuletegur R_9*[1]!Tuulekoormus_en(M$5,Qj,hj,zo,M$4,JaideJ,jaitetegur R_9))^2)</f>
        <v>3.3099999999999997E-2</v>
      </c>
      <c r="N58" s="6">
        <f>SQRT((kaalutegur R_9*[1]!juhe(N5,6)+jaitetegur R_9*[1]!Jaitekoormus_EN(N$5,JaideJ,hj))^2+(tuuletegur R_9*[1]!Tuulekoormus_en(N$5,Qj,hj,zo,N$4,JaideJ,jaitetegur R_9))^2)</f>
        <v>3.3099999999999997E-2</v>
      </c>
      <c r="O58" s="6">
        <f>SQRT((kaalutegur R_9*[1]!juhe(O5,6)+jaitetegur R_9*[1]!Jaitekoormus_EN(O$5,JaideJ,hj))^2+(tuuletegur R_9*[1]!Tuulekoormus_en(O$5,Qj,hj,zo,O$4,JaideJ,jaitetegur R_9))^2)</f>
        <v>3.3099999999999997E-2</v>
      </c>
      <c r="P58" s="6">
        <f>SQRT((kaalutegur R_9*[1]!juhe(P5,6)+jaitetegur R_9*[1]!Jaitekoormus_EN(P$5,JaideJ,hj))^2+(tuuletegur R_9*[1]!Tuulekoormus_en(P$5,Qj,hj,zo,P$4,JaideJ,jaitetegur R_9))^2)</f>
        <v>3.3099999999999997E-2</v>
      </c>
      <c r="Q58" s="6">
        <f>SQRT((kaalutegur R_9*[1]!juhe(Q5,6)+jaitetegur R_9*[1]!Jaitekoormus_EN(Q$5,JaideJ,hj))^2+(tuuletegur R_9*[1]!Tuulekoormus_en(Q$5,Qj,hj,zo,Q$4,JaideJ,jaitetegur R_9))^2)</f>
        <v>3.3099999999999997E-2</v>
      </c>
      <c r="R58" s="6">
        <f>SQRT((kaalutegur R_9*[1]!juhe(R5,6)+jaitetegur R_9*[1]!Jaitekoormus_EN(R$5,JaideJ,hj))^2+(tuuletegur R_9*[1]!Tuulekoormus_en(R$5,Qj,hj,zo,R$4,JaideJ,jaitetegur R_9))^2)</f>
        <v>3.3099999999999997E-2</v>
      </c>
    </row>
    <row r="59" spans="1:18" x14ac:dyDescent="0.2">
      <c r="A59" s="172"/>
      <c r="B59" s="173"/>
      <c r="C59" s="76" t="s">
        <v>104</v>
      </c>
      <c r="D59" s="3">
        <f>[1]!Olekuvorrand(D$4,D$5,D$6,5,D$9,Lähteandmed!$C48,D58)</f>
        <v>62.70068883895874</v>
      </c>
      <c r="E59" s="3">
        <f>[1]!Olekuvorrand(E$4,E$5,E$6,5,E$9,Lähteandmed!$C48,E58)</f>
        <v>62.669575214385986</v>
      </c>
      <c r="F59" s="3">
        <f>[1]!Olekuvorrand(F$4,F$5,F$6,5,F$9,Lähteandmed!$C48,F58)</f>
        <v>62.643468379974365</v>
      </c>
      <c r="G59" s="3">
        <f>[1]!Olekuvorrand(G$4,G$5,G$6,5,G$9,Lähteandmed!$C48,G58)</f>
        <v>61.707913875579834</v>
      </c>
      <c r="H59" s="3">
        <f>[1]!Olekuvorrand(H$4,H$5,H$6,5,H$9,Lähteandmed!$C48,H58)</f>
        <v>62.552273273468018</v>
      </c>
      <c r="I59" s="3">
        <f>[1]!Olekuvorrand(I$4,I$5,I$6,5,I$9,Lähteandmed!$C48,I58)</f>
        <v>62.480151653289795</v>
      </c>
      <c r="J59" s="3">
        <f>[1]!Olekuvorrand(J$4,J$5,J$6,5,J$9,Lähteandmed!$C48,J58)</f>
        <v>62.350094318389893</v>
      </c>
      <c r="K59" s="3">
        <f>[1]!Olekuvorrand(K$4,K$5,K$6,5,K$9,Lähteandmed!$C48,K58)</f>
        <v>62.873423099517822</v>
      </c>
      <c r="L59" s="3">
        <f>[1]!Olekuvorrand(L$4,L$5,L$6,5,L$9,Lähteandmed!$C48,L58)</f>
        <v>62.352120876312256</v>
      </c>
      <c r="M59" s="3">
        <f>[1]!Olekuvorrand(M$4,M$5,M$6,5,M$9,Lähteandmed!$C48,M58)</f>
        <v>62.852203845977783</v>
      </c>
      <c r="N59" s="3">
        <f>[1]!Olekuvorrand(N$4,N$5,N$6,5,N$9,Lähteandmed!$C48,N58)</f>
        <v>62.813818454742432</v>
      </c>
      <c r="O59" s="3">
        <f>[1]!Olekuvorrand(O$4,O$5,O$6,5,O$9,Lähteandmed!$C48,O58)</f>
        <v>62.342345714569092</v>
      </c>
      <c r="P59" s="3">
        <f>[1]!Olekuvorrand(P$4,P$5,P$6,5,P$9,Lähteandmed!$C48,P58)</f>
        <v>61.802923679351807</v>
      </c>
      <c r="Q59" s="3">
        <f>[1]!Olekuvorrand(Q$4,Q$5,Q$6,5,Q$9,Lähteandmed!$C48,Q58)</f>
        <v>61.951935291290283</v>
      </c>
      <c r="R59" s="3">
        <f>[1]!Olekuvorrand(R$4,R$5,R$6,5,R$9,Lähteandmed!$C48,R58)</f>
        <v>62.526881694793701</v>
      </c>
    </row>
    <row r="60" spans="1:18" x14ac:dyDescent="0.2">
      <c r="A60" s="172"/>
      <c r="B60" s="173"/>
      <c r="C60" s="76" t="s">
        <v>105</v>
      </c>
      <c r="D60" s="3">
        <f>[1]!ripe(D59,D$9+Lähteandmed!$E48*D$11,D$4,0)</f>
        <v>13.197090542604554</v>
      </c>
      <c r="E60" s="3">
        <f>[1]!ripe(E59,E$9+Lähteandmed!$E48*D$11,E$4,0)</f>
        <v>12.981508297895425</v>
      </c>
      <c r="F60" s="3">
        <f>[1]!ripe(F59,F$9+Lähteandmed!$E48*D$11,F$4,0)</f>
        <v>12.805508199248012</v>
      </c>
      <c r="G60" s="3">
        <f>[1]!ripe(G59,G$9+Lähteandmed!$E48*D$11,G$4,0)</f>
        <v>8.3444252930897314</v>
      </c>
      <c r="H60" s="3">
        <f>[1]!ripe(H59,H$9+Lähteandmed!$E48*D$11,H$4,0)</f>
        <v>12.219743215802239</v>
      </c>
      <c r="I60" s="3">
        <f>[1]!ripe(I59,I$9+Lähteandmed!$E48*D$11,I$4,0)</f>
        <v>11.786900987820168</v>
      </c>
      <c r="J60" s="3">
        <f>[1]!ripe(J59,J$9+Lähteandmed!$E48*D$11,J$4,0)</f>
        <v>11.066472257877697</v>
      </c>
      <c r="K60" s="3">
        <f>[1]!ripe(K59,K$9+Lähteandmed!$E48*D$11,K$4,0)</f>
        <v>14.505675050960399</v>
      </c>
      <c r="L60" s="3">
        <f>[1]!ripe(L59,L$9+Lähteandmed!$E48*D$11,L$4,0)</f>
        <v>11.076658278434916</v>
      </c>
      <c r="M60" s="3">
        <f>[1]!ripe(M59,M$9+Lähteandmed!$E48*D$11,M$4,0)</f>
        <v>14.333628582910183</v>
      </c>
      <c r="N60" s="3">
        <f>[1]!ripe(N59,N$9+Lähteandmed!$E48*D$11,N$4,0)</f>
        <v>14.030898715428373</v>
      </c>
      <c r="O60" s="3">
        <f>[1]!ripe(O59,O$9+Lähteandmed!$E48*D$11,O$4,0)</f>
        <v>11.025601817033241</v>
      </c>
      <c r="P60" s="3">
        <f>[1]!ripe(P59,P$9+Lähteandmed!$E48*D$11,P$4,0)</f>
        <v>8.6779132667759935</v>
      </c>
      <c r="Q60" s="3">
        <f>[1]!ripe(Q59,Q$9+Lähteandmed!$E48*D$11,Q$4,0)</f>
        <v>9.2429820072990179</v>
      </c>
      <c r="R60" s="3">
        <f>[1]!ripe(R59,R$9+Lähteandmed!$E48*D$11,R$4,0)</f>
        <v>12.064586915297868</v>
      </c>
    </row>
    <row r="61" spans="1:18" x14ac:dyDescent="0.2">
      <c r="A61" s="42"/>
      <c r="B61" s="173"/>
      <c r="C61" s="76" t="s">
        <v>49</v>
      </c>
      <c r="D61" s="50">
        <f t="shared" ref="D61:K61" si="45">D60/D$4^2*1000000</f>
        <v>65.988110762655381</v>
      </c>
      <c r="E61" s="50">
        <f t="shared" si="45"/>
        <v>66.020871943778928</v>
      </c>
      <c r="F61" s="50">
        <f t="shared" si="45"/>
        <v>66.048386320235437</v>
      </c>
      <c r="G61" s="50">
        <f t="shared" si="45"/>
        <v>67.049746785190962</v>
      </c>
      <c r="H61" s="50">
        <f t="shared" si="45"/>
        <v>66.144678418185464</v>
      </c>
      <c r="I61" s="50">
        <f t="shared" si="45"/>
        <v>66.221030047422204</v>
      </c>
      <c r="J61" s="50">
        <f t="shared" si="45"/>
        <v>66.359161846202085</v>
      </c>
      <c r="K61" s="50">
        <f t="shared" si="45"/>
        <v>65.806819416385963</v>
      </c>
      <c r="L61" s="50">
        <f t="shared" ref="L61:Q61" si="46">L60/L$4^2*1000000</f>
        <v>66.357005052122418</v>
      </c>
      <c r="M61" s="50">
        <f t="shared" si="46"/>
        <v>65.829036164573225</v>
      </c>
      <c r="N61" s="50">
        <f t="shared" si="46"/>
        <v>65.869264148956049</v>
      </c>
      <c r="O61" s="50">
        <f t="shared" si="46"/>
        <v>66.367409704846679</v>
      </c>
      <c r="P61" s="50">
        <f t="shared" si="46"/>
        <v>66.946671025893991</v>
      </c>
      <c r="Q61" s="50">
        <f t="shared" si="46"/>
        <v>66.78564568719267</v>
      </c>
      <c r="R61" s="50">
        <f t="shared" ref="R61" si="47">R60/R$4^2*1000000</f>
        <v>66.171539150088606</v>
      </c>
    </row>
    <row r="62" spans="1:18" ht="38.25" x14ac:dyDescent="0.2">
      <c r="A62" s="159">
        <v>10</v>
      </c>
      <c r="B62" s="174" t="str">
        <f>Lähteandmed!B51</f>
        <v>T+60</v>
      </c>
      <c r="C62" s="77" t="s">
        <v>222</v>
      </c>
      <c r="D62" s="9">
        <f>SQRT((kaalutegur R_10*[1]!juhe(D5,6)+jaitetegur R_10*[1]!Jaitekoormus_EN(D$5,JaideJ,hj))^2+(tuuletegur R_10*[1]!Tuulekoormus_en(D$5,Qj,hj,zo,D$4,JaideJ,jaitetegur R_10))^2)</f>
        <v>3.3099999999999997E-2</v>
      </c>
      <c r="E62" s="9">
        <f>SQRT((kaalutegur R_10*[1]!juhe(E5,6)+jaitetegur R_10*[1]!Jaitekoormus_EN(E$5,JaideJ,hj))^2+(tuuletegur R_10*[1]!Tuulekoormus_en(E$5,Qj,hj,zo,E$4,JaideJ,jaitetegur R_10))^2)</f>
        <v>3.3099999999999997E-2</v>
      </c>
      <c r="F62" s="9">
        <f>SQRT((kaalutegur R_10*[1]!juhe(F5,6)+jaitetegur R_10*[1]!Jaitekoormus_EN(F$5,JaideJ,hj))^2+(tuuletegur R_10*[1]!Tuulekoormus_en(F$5,Qj,hj,zo,F$4,JaideJ,jaitetegur R_10))^2)</f>
        <v>3.3099999999999997E-2</v>
      </c>
      <c r="G62" s="9">
        <f>SQRT((kaalutegur R_10*[1]!juhe(G5,6)+jaitetegur R_10*[1]!Jaitekoormus_EN(G$5,JaideJ,hj))^2+(tuuletegur R_10*[1]!Tuulekoormus_en(G$5,Qj,hj,zo,G$4,JaideJ,jaitetegur R_10))^2)</f>
        <v>3.3099999999999997E-2</v>
      </c>
      <c r="H62" s="9">
        <f>SQRT((kaalutegur R_10*[1]!juhe(H5,6)+jaitetegur R_10*[1]!Jaitekoormus_EN(H$5,JaideJ,hj))^2+(tuuletegur R_10*[1]!Tuulekoormus_en(H$5,Qj,hj,zo,H$4,JaideJ,jaitetegur R_10))^2)</f>
        <v>3.3099999999999997E-2</v>
      </c>
      <c r="I62" s="9">
        <f>SQRT((kaalutegur R_10*[1]!juhe(I5,6)+jaitetegur R_10*[1]!Jaitekoormus_EN(I$5,JaideJ,hj))^2+(tuuletegur R_10*[1]!Tuulekoormus_en(I$5,Qj,hj,zo,I$4,JaideJ,jaitetegur R_10))^2)</f>
        <v>3.3099999999999997E-2</v>
      </c>
      <c r="J62" s="9">
        <f>SQRT((kaalutegur R_10*[1]!juhe(J5,6)+jaitetegur R_10*[1]!Jaitekoormus_EN(J$5,JaideJ,hj))^2+(tuuletegur R_10*[1]!Tuulekoormus_en(J$5,Qj,hj,zo,J$4,JaideJ,jaitetegur R_10))^2)</f>
        <v>3.3099999999999997E-2</v>
      </c>
      <c r="K62" s="9">
        <f>SQRT((kaalutegur R_10*[1]!juhe(K5,6)+jaitetegur R_10*[1]!Jaitekoormus_EN(K$5,JaideJ,hj))^2+(tuuletegur R_10*[1]!Tuulekoormus_en(K$5,Qj,hj,zo,K$4,JaideJ,jaitetegur R_10))^2)</f>
        <v>3.3099999999999997E-2</v>
      </c>
      <c r="L62" s="9">
        <f>SQRT((kaalutegur R_10*[1]!juhe(L5,6)+jaitetegur R_10*[1]!Jaitekoormus_EN(L$5,JaideJ,hj))^2+(tuuletegur R_10*[1]!Tuulekoormus_en(L$5,Qj,hj,zo,L$4,JaideJ,jaitetegur R_10))^2)</f>
        <v>3.3099999999999997E-2</v>
      </c>
      <c r="M62" s="9">
        <f>SQRT((kaalutegur R_10*[1]!juhe(M5,6)+jaitetegur R_10*[1]!Jaitekoormus_EN(M$5,JaideJ,hj))^2+(tuuletegur R_10*[1]!Tuulekoormus_en(M$5,Qj,hj,zo,M$4,JaideJ,jaitetegur R_10))^2)</f>
        <v>3.3099999999999997E-2</v>
      </c>
      <c r="N62" s="9">
        <f>SQRT((kaalutegur R_10*[1]!juhe(N5,6)+jaitetegur R_10*[1]!Jaitekoormus_EN(N$5,JaideJ,hj))^2+(tuuletegur R_10*[1]!Tuulekoormus_en(N$5,Qj,hj,zo,N$4,JaideJ,jaitetegur R_10))^2)</f>
        <v>3.3099999999999997E-2</v>
      </c>
      <c r="O62" s="9">
        <f>SQRT((kaalutegur R_10*[1]!juhe(O5,6)+jaitetegur R_10*[1]!Jaitekoormus_EN(O$5,JaideJ,hj))^2+(tuuletegur R_10*[1]!Tuulekoormus_en(O$5,Qj,hj,zo,O$4,JaideJ,jaitetegur R_10))^2)</f>
        <v>3.3099999999999997E-2</v>
      </c>
      <c r="P62" s="9">
        <f>SQRT((kaalutegur R_10*[1]!juhe(P5,6)+jaitetegur R_10*[1]!Jaitekoormus_EN(P$5,JaideJ,hj))^2+(tuuletegur R_10*[1]!Tuulekoormus_en(P$5,Qj,hj,zo,P$4,JaideJ,jaitetegur R_10))^2)</f>
        <v>3.3099999999999997E-2</v>
      </c>
      <c r="Q62" s="9">
        <f>SQRT((kaalutegur R_10*[1]!juhe(Q5,6)+jaitetegur R_10*[1]!Jaitekoormus_EN(Q$5,JaideJ,hj))^2+(tuuletegur R_10*[1]!Tuulekoormus_en(Q$5,Qj,hj,zo,Q$4,JaideJ,jaitetegur R_10))^2)</f>
        <v>3.3099999999999997E-2</v>
      </c>
      <c r="R62" s="9">
        <f>SQRT((kaalutegur R_10*[1]!juhe(R5,6)+jaitetegur R_10*[1]!Jaitekoormus_EN(R$5,JaideJ,hj))^2+(tuuletegur R_10*[1]!Tuulekoormus_en(R$5,Qj,hj,zo,R$4,JaideJ,jaitetegur R_10))^2)</f>
        <v>3.3099999999999997E-2</v>
      </c>
    </row>
    <row r="63" spans="1:18" x14ac:dyDescent="0.2">
      <c r="A63" s="159"/>
      <c r="B63" s="174"/>
      <c r="C63" s="77" t="s">
        <v>104</v>
      </c>
      <c r="D63" s="22">
        <f>[1]!Olekuvorrand(D$4,D$5,D$6,5,D$9,Lähteandmed!$C51,D62)</f>
        <v>54.458916187286377</v>
      </c>
      <c r="E63" s="22">
        <f>[1]!Olekuvorrand(E$4,E$5,E$6,5,E$9,Lähteandmed!$C51,E62)</f>
        <v>54.336130619049072</v>
      </c>
      <c r="F63" s="22">
        <f>[1]!Olekuvorrand(F$4,F$5,F$6,5,F$9,Lähteandmed!$C51,F62)</f>
        <v>54.2336106300354</v>
      </c>
      <c r="G63" s="22">
        <f>[1]!Olekuvorrand(G$4,G$5,G$6,5,G$9,Lähteandmed!$C51,G62)</f>
        <v>50.713241100311279</v>
      </c>
      <c r="H63" s="22">
        <f>[1]!Olekuvorrand(H$4,H$5,H$6,5,H$9,Lähteandmed!$C51,H62)</f>
        <v>53.877413272857666</v>
      </c>
      <c r="I63" s="22">
        <f>[1]!Olekuvorrand(I$4,I$5,I$6,5,I$9,Lähteandmed!$C51,I62)</f>
        <v>53.598105907440186</v>
      </c>
      <c r="J63" s="22">
        <f>[1]!Olekuvorrand(J$4,J$5,J$6,5,J$9,Lähteandmed!$C51,J62)</f>
        <v>53.099215030670166</v>
      </c>
      <c r="K63" s="22">
        <f>[1]!Olekuvorrand(K$4,K$5,K$6,5,K$9,Lähteandmed!$C51,K62)</f>
        <v>55.145919322967529</v>
      </c>
      <c r="L63" s="22">
        <f>[1]!Olekuvorrand(L$4,L$5,L$6,5,L$9,Lähteandmed!$C51,L62)</f>
        <v>53.106606006622314</v>
      </c>
      <c r="M63" s="22">
        <f>[1]!Olekuvorrand(M$4,M$5,M$6,5,M$9,Lähteandmed!$C51,M62)</f>
        <v>55.060923099517822</v>
      </c>
      <c r="N63" s="22">
        <f>[1]!Olekuvorrand(N$4,N$5,N$6,5,N$9,Lähteandmed!$C51,N62)</f>
        <v>54.907619953155518</v>
      </c>
      <c r="O63" s="22">
        <f>[1]!Olekuvorrand(O$4,O$5,O$6,5,O$9,Lähteandmed!$C51,O62)</f>
        <v>53.069651126861572</v>
      </c>
      <c r="P63" s="22">
        <f>[1]!Olekuvorrand(P$4,P$5,P$6,5,P$9,Lähteandmed!$C51,P62)</f>
        <v>51.058709621429443</v>
      </c>
      <c r="Q63" s="22">
        <f>[1]!Olekuvorrand(Q$4,Q$5,Q$6,5,Q$9,Lähteandmed!$C51,Q62)</f>
        <v>51.605403423309326</v>
      </c>
      <c r="R63" s="22">
        <f>[1]!Olekuvorrand(R$4,R$5,R$6,5,R$9,Lähteandmed!$C51,R62)</f>
        <v>53.778946399688721</v>
      </c>
    </row>
    <row r="64" spans="1:18" x14ac:dyDescent="0.2">
      <c r="A64" s="159"/>
      <c r="B64" s="174"/>
      <c r="C64" s="77" t="s">
        <v>105</v>
      </c>
      <c r="D64" s="9">
        <f>[1]!ripe(D63,D$9+Lähteandmed!$E51*D$11,D$4,0)</f>
        <v>15.1943285989336</v>
      </c>
      <c r="E64" s="9">
        <f>[1]!ripe(E63,E$9+Lähteandmed!$E51*D$11,E$4,0)</f>
        <v>14.972461259247668</v>
      </c>
      <c r="F64" s="9">
        <f>[1]!ripe(F63,F$9+Lähteandmed!$E51*D$11,F$4,0)</f>
        <v>14.791223351167311</v>
      </c>
      <c r="G64" s="9">
        <f>[1]!ripe(G63,G$9+Lähteandmed!$E51*D$11,G$4,0)</f>
        <v>10.153503624599347</v>
      </c>
      <c r="H64" s="9">
        <f>[1]!ripe(H63,H$9+Lähteandmed!$E51*D$11,H$4,0)</f>
        <v>14.187257155338299</v>
      </c>
      <c r="I64" s="9">
        <f>[1]!ripe(I63,I$9+Lähteandmed!$E51*D$11,I$4,0)</f>
        <v>13.740175119492161</v>
      </c>
      <c r="J64" s="9">
        <f>[1]!ripe(J63,J$9+Lähteandmed!$E51*D$11,J$4,0)</f>
        <v>12.994459308898961</v>
      </c>
      <c r="K64" s="9">
        <f>[1]!ripe(K63,K$9+Lähteandmed!$E51*D$11,K$4,0)</f>
        <v>16.538330596717579</v>
      </c>
      <c r="L64" s="9">
        <f>[1]!ripe(L63,L$9+Lähteandmed!$E51*D$11,L$4,0)</f>
        <v>13.005032477437087</v>
      </c>
      <c r="M64" s="9">
        <f>[1]!ripe(M63,M$9+Lähteandmed!$E51*D$11,M$4,0)</f>
        <v>16.361878712372945</v>
      </c>
      <c r="N64" s="9">
        <f>[1]!ripe(N63,N$9+Lähteandmed!$E51*D$11,N$4,0)</f>
        <v>16.051220676104844</v>
      </c>
      <c r="O64" s="9">
        <f>[1]!ripe(O63,O$9+Lähteandmed!$E51*D$11,O$4,0)</f>
        <v>12.952070827553536</v>
      </c>
      <c r="P64" s="9">
        <f>[1]!ripe(P63,P$9+Lähteandmed!$E51*D$11,P$4,0)</f>
        <v>10.503994623034822</v>
      </c>
      <c r="Q64" s="9">
        <f>[1]!ripe(Q63,Q$9+Lähteandmed!$E51*D$11,Q$4,0)</f>
        <v>11.096136939724138</v>
      </c>
      <c r="R64" s="9">
        <f>[1]!ripe(R63,R$9+Lähteandmed!$E51*D$11,R$4,0)</f>
        <v>14.027069127441147</v>
      </c>
    </row>
    <row r="65" spans="1:18" x14ac:dyDescent="0.2">
      <c r="A65" s="39"/>
      <c r="B65" s="174"/>
      <c r="C65" s="77" t="s">
        <v>49</v>
      </c>
      <c r="D65" s="51">
        <f t="shared" ref="D65:K65" si="48">D64/D$4^2*1000000</f>
        <v>75.974703311593146</v>
      </c>
      <c r="E65" s="51">
        <f t="shared" si="48"/>
        <v>76.146386444188238</v>
      </c>
      <c r="F65" s="51">
        <f t="shared" si="48"/>
        <v>76.29032904013566</v>
      </c>
      <c r="G65" s="51">
        <f t="shared" si="48"/>
        <v>81.586187556342239</v>
      </c>
      <c r="H65" s="51">
        <f t="shared" si="48"/>
        <v>76.794703915089158</v>
      </c>
      <c r="I65" s="51">
        <f t="shared" si="48"/>
        <v>77.194892057289209</v>
      </c>
      <c r="J65" s="51">
        <f t="shared" si="48"/>
        <v>77.920172597846786</v>
      </c>
      <c r="K65" s="51">
        <f t="shared" si="48"/>
        <v>75.028216970476493</v>
      </c>
      <c r="L65" s="51">
        <f t="shared" ref="L65:Q65" si="49">L64/L$4^2*1000000</f>
        <v>77.909328257280464</v>
      </c>
      <c r="M65" s="51">
        <f t="shared" si="49"/>
        <v>75.144036225506582</v>
      </c>
      <c r="N65" s="51">
        <f t="shared" si="49"/>
        <v>75.353839840989494</v>
      </c>
      <c r="O65" s="51">
        <f t="shared" si="49"/>
        <v>77.963580165797907</v>
      </c>
      <c r="P65" s="51">
        <f t="shared" si="49"/>
        <v>81.034166955591886</v>
      </c>
      <c r="Q65" s="51">
        <f t="shared" si="49"/>
        <v>80.17571272645371</v>
      </c>
      <c r="R65" s="51">
        <f t="shared" ref="R65" si="50">R64/R$4^2*1000000</f>
        <v>76.935311622690108</v>
      </c>
    </row>
    <row r="66" spans="1:18" ht="38.25" x14ac:dyDescent="0.2">
      <c r="A66" s="172">
        <v>11</v>
      </c>
      <c r="B66" s="173" t="str">
        <f>Lähteandmed!B54</f>
        <v>Peale venimist EDS</v>
      </c>
      <c r="C66" s="76" t="s">
        <v>222</v>
      </c>
      <c r="D66" s="6">
        <f>SQRT((kaalutegur R_11*[1]!juhe(D5,6)+jaitetegur R_11*[1]!Jaitekoormus_EN(D$5,JaideJ,hj))^2+(tuuletegur R_11*[1]!Tuulekoormus_en(D$5,Qj,hj,zo,D$4,JaideJ,jaitetegur R_11))^2)</f>
        <v>3.3099999999999997E-2</v>
      </c>
      <c r="E66" s="6">
        <f>SQRT((kaalutegur R_11*[1]!juhe(E5,6)+jaitetegur R_11*[1]!Jaitekoormus_EN(E$5,JaideJ,hj))^2+(tuuletegur R_11*[1]!Tuulekoormus_en(E$5,Qj,hj,zo,E$4,JaideJ,jaitetegur R_11))^2)</f>
        <v>3.3099999999999997E-2</v>
      </c>
      <c r="F66" s="6">
        <f>SQRT((kaalutegur R_11*[1]!juhe(F5,6)+jaitetegur R_11*[1]!Jaitekoormus_EN(F$5,JaideJ,hj))^2+(tuuletegur R_11*[1]!Tuulekoormus_en(F$5,Qj,hj,zo,F$4,JaideJ,jaitetegur R_11))^2)</f>
        <v>3.3099999999999997E-2</v>
      </c>
      <c r="G66" s="6">
        <f>SQRT((kaalutegur R_11*[1]!juhe(G5,6)+jaitetegur R_11*[1]!Jaitekoormus_EN(G$5,JaideJ,hj))^2+(tuuletegur R_11*[1]!Tuulekoormus_en(G$5,Qj,hj,zo,G$4,JaideJ,jaitetegur R_11))^2)</f>
        <v>3.3099999999999997E-2</v>
      </c>
      <c r="H66" s="6">
        <f>SQRT((kaalutegur R_11*[1]!juhe(H5,6)+jaitetegur R_11*[1]!Jaitekoormus_EN(H$5,JaideJ,hj))^2+(tuuletegur R_11*[1]!Tuulekoormus_en(H$5,Qj,hj,zo,H$4,JaideJ,jaitetegur R_11))^2)</f>
        <v>3.3099999999999997E-2</v>
      </c>
      <c r="I66" s="6">
        <f>SQRT((kaalutegur R_11*[1]!juhe(I5,6)+jaitetegur R_11*[1]!Jaitekoormus_EN(I$5,JaideJ,hj))^2+(tuuletegur R_11*[1]!Tuulekoormus_en(I$5,Qj,hj,zo,I$4,JaideJ,jaitetegur R_11))^2)</f>
        <v>3.3099999999999997E-2</v>
      </c>
      <c r="J66" s="6">
        <f>SQRT((kaalutegur R_11*[1]!juhe(J5,6)+jaitetegur R_11*[1]!Jaitekoormus_EN(J$5,JaideJ,hj))^2+(tuuletegur R_11*[1]!Tuulekoormus_en(J$5,Qj,hj,zo,J$4,JaideJ,jaitetegur R_11))^2)</f>
        <v>3.3099999999999997E-2</v>
      </c>
      <c r="K66" s="6">
        <f>SQRT((kaalutegur R_11*[1]!juhe(K5,6)+jaitetegur R_11*[1]!Jaitekoormus_EN(K$5,JaideJ,hj))^2+(tuuletegur R_11*[1]!Tuulekoormus_en(K$5,Qj,hj,zo,K$4,JaideJ,jaitetegur R_11))^2)</f>
        <v>3.3099999999999997E-2</v>
      </c>
      <c r="L66" s="6">
        <f>SQRT((kaalutegur R_11*[1]!juhe(L5,6)+jaitetegur R_11*[1]!Jaitekoormus_EN(L$5,JaideJ,hj))^2+(tuuletegur R_11*[1]!Tuulekoormus_en(L$5,Qj,hj,zo,L$4,JaideJ,jaitetegur R_11))^2)</f>
        <v>3.3099999999999997E-2</v>
      </c>
      <c r="M66" s="6">
        <f>SQRT((kaalutegur R_11*[1]!juhe(M5,6)+jaitetegur R_11*[1]!Jaitekoormus_EN(M$5,JaideJ,hj))^2+(tuuletegur R_11*[1]!Tuulekoormus_en(M$5,Qj,hj,zo,M$4,JaideJ,jaitetegur R_11))^2)</f>
        <v>3.3099999999999997E-2</v>
      </c>
      <c r="N66" s="6">
        <f>SQRT((kaalutegur R_11*[1]!juhe(N5,6)+jaitetegur R_11*[1]!Jaitekoormus_EN(N$5,JaideJ,hj))^2+(tuuletegur R_11*[1]!Tuulekoormus_en(N$5,Qj,hj,zo,N$4,JaideJ,jaitetegur R_11))^2)</f>
        <v>3.3099999999999997E-2</v>
      </c>
      <c r="O66" s="6">
        <f>SQRT((kaalutegur R_11*[1]!juhe(O5,6)+jaitetegur R_11*[1]!Jaitekoormus_EN(O$5,JaideJ,hj))^2+(tuuletegur R_11*[1]!Tuulekoormus_en(O$5,Qj,hj,zo,O$4,JaideJ,jaitetegur R_11))^2)</f>
        <v>3.3099999999999997E-2</v>
      </c>
      <c r="P66" s="6">
        <f>SQRT((kaalutegur R_11*[1]!juhe(P5,6)+jaitetegur R_11*[1]!Jaitekoormus_EN(P$5,JaideJ,hj))^2+(tuuletegur R_11*[1]!Tuulekoormus_en(P$5,Qj,hj,zo,P$4,JaideJ,jaitetegur R_11))^2)</f>
        <v>3.3099999999999997E-2</v>
      </c>
      <c r="Q66" s="6">
        <f>SQRT((kaalutegur R_11*[1]!juhe(Q5,6)+jaitetegur R_11*[1]!Jaitekoormus_EN(Q$5,JaideJ,hj))^2+(tuuletegur R_11*[1]!Tuulekoormus_en(Q$5,Qj,hj,zo,Q$4,JaideJ,jaitetegur R_11))^2)</f>
        <v>3.3099999999999997E-2</v>
      </c>
      <c r="R66" s="6">
        <f>SQRT((kaalutegur R_11*[1]!juhe(R5,6)+jaitetegur R_11*[1]!Jaitekoormus_EN(R$5,JaideJ,hj))^2+(tuuletegur R_11*[1]!Tuulekoormus_en(R$5,Qj,hj,zo,R$4,JaideJ,jaitetegur R_11))^2)</f>
        <v>3.3099999999999997E-2</v>
      </c>
    </row>
    <row r="67" spans="1:18" x14ac:dyDescent="0.2">
      <c r="A67" s="172"/>
      <c r="B67" s="173"/>
      <c r="C67" s="76" t="s">
        <v>104</v>
      </c>
      <c r="D67" s="3">
        <f>[1]!Olekuvorrand(D$4,D$5,D$6,5,D$9,Lähteandmed!$C54,D66)</f>
        <v>57.754099369049072</v>
      </c>
      <c r="E67" s="3">
        <f>[1]!Olekuvorrand(E$4,E$5,E$6,5,E$9,Lähteandmed!$C54,E66)</f>
        <v>57.664096355438232</v>
      </c>
      <c r="F67" s="3">
        <f>[1]!Olekuvorrand(F$4,F$5,F$6,5,F$9,Lähteandmed!$C54,F66)</f>
        <v>57.588756084442139</v>
      </c>
      <c r="G67" s="3">
        <f>[1]!Olekuvorrand(G$4,G$5,G$6,5,G$9,Lähteandmed!$C54,G66)</f>
        <v>54.954826831817627</v>
      </c>
      <c r="H67" s="3">
        <f>[1]!Olekuvorrand(H$4,H$5,H$6,5,H$9,Lähteandmed!$C54,H66)</f>
        <v>57.326376438140869</v>
      </c>
      <c r="I67" s="3">
        <f>[1]!Olekuvorrand(I$4,I$5,I$6,5,I$9,Lähteandmed!$C54,I66)</f>
        <v>57.120025157928467</v>
      </c>
      <c r="J67" s="3">
        <f>[1]!Olekuvorrand(J$4,J$5,J$6,5,J$9,Lähteandmed!$C54,J66)</f>
        <v>56.749999523162842</v>
      </c>
      <c r="K67" s="3">
        <f>[1]!Olekuvorrand(K$4,K$5,K$6,5,K$9,Lähteandmed!$C54,K66)</f>
        <v>58.256089687347412</v>
      </c>
      <c r="L67" s="3">
        <f>[1]!Olekuvorrand(L$4,L$5,L$6,5,L$9,Lähteandmed!$C54,L66)</f>
        <v>56.755483150482178</v>
      </c>
      <c r="M67" s="3">
        <f>[1]!Olekuvorrand(M$4,M$5,M$6,5,M$9,Lähteandmed!$C54,M66)</f>
        <v>58.194220066070557</v>
      </c>
      <c r="N67" s="3">
        <f>[1]!Olekuvorrand(N$4,N$5,N$6,5,N$9,Lähteandmed!$C54,N66)</f>
        <v>58.082401752471924</v>
      </c>
      <c r="O67" s="3">
        <f>[1]!Olekuvorrand(O$4,O$5,O$6,5,O$9,Lähteandmed!$C54,O66)</f>
        <v>56.727945804595947</v>
      </c>
      <c r="P67" s="3">
        <f>[1]!Olekuvorrand(P$4,P$5,P$6,5,P$9,Lähteandmed!$C54,P66)</f>
        <v>55.217206478118896</v>
      </c>
      <c r="Q67" s="3">
        <f>[1]!Olekuvorrand(Q$4,Q$5,Q$6,5,Q$9,Lähteandmed!$C54,Q66)</f>
        <v>55.630862712860107</v>
      </c>
      <c r="R67" s="3">
        <f>[1]!Olekuvorrand(R$4,R$5,R$6,5,R$9,Lähteandmed!$C54,R66)</f>
        <v>57.253777980804443</v>
      </c>
    </row>
    <row r="68" spans="1:18" x14ac:dyDescent="0.2">
      <c r="A68" s="172"/>
      <c r="B68" s="173"/>
      <c r="C68" s="76" t="s">
        <v>105</v>
      </c>
      <c r="D68" s="3">
        <f>[1]!ripe(D67,D$9+Lähteandmed!$E54*D$11,D$4,0)</f>
        <v>14.327410118611597</v>
      </c>
      <c r="E68" s="3">
        <f>[1]!ripe(E67,E$9+Lähteandmed!$E54*D$11,E$4,0)</f>
        <v>14.108356188510855</v>
      </c>
      <c r="F68" s="3">
        <f>[1]!ripe(F67,F$9+Lähteandmed!$E54*D$11,F$4,0)</f>
        <v>13.92948037969183</v>
      </c>
      <c r="G68" s="3">
        <f>[1]!ripe(G67,G$9+Lähteandmed!$E54*D$11,G$4,0)</f>
        <v>9.3698243996479214</v>
      </c>
      <c r="H68" s="3">
        <f>[1]!ripe(H67,H$9+Lähteandmed!$E54*D$11,H$4,0)</f>
        <v>13.333700199789877</v>
      </c>
      <c r="I68" s="3">
        <f>[1]!ripe(I67,I$9+Lähteandmed!$E54*D$11,I$4,0)</f>
        <v>12.89298033754619</v>
      </c>
      <c r="J68" s="3">
        <f>[1]!ripe(J67,J$9+Lähteandmed!$E54*D$11,J$4,0)</f>
        <v>12.158512684548903</v>
      </c>
      <c r="K68" s="3">
        <f>[1]!ripe(K67,K$9+Lähteandmed!$E54*D$11,K$4,0)</f>
        <v>15.655383835713128</v>
      </c>
      <c r="L68" s="3">
        <f>[1]!ripe(L67,L$9+Lähteandmed!$E54*D$11,L$4,0)</f>
        <v>12.168923556713851</v>
      </c>
      <c r="M68" s="3">
        <f>[1]!ripe(M67,M$9+Lähteandmed!$E54*D$11,M$4,0)</f>
        <v>15.480921378837476</v>
      </c>
      <c r="N68" s="3">
        <f>[1]!ripe(N67,N$9+Lähteandmed!$E54*D$11,N$4,0)</f>
        <v>15.17386158416371</v>
      </c>
      <c r="O68" s="3">
        <f>[1]!ripe(O67,O$9+Lähteandmed!$E54*D$11,O$4,0)</f>
        <v>12.116812453536422</v>
      </c>
      <c r="P68" s="3">
        <f>[1]!ripe(P67,P$9+Lähteandmed!$E54*D$11,P$4,0)</f>
        <v>9.712921850458347</v>
      </c>
      <c r="Q68" s="3">
        <f>[1]!ripe(Q67,Q$9+Lähteandmed!$E54*D$11,Q$4,0)</f>
        <v>10.293218463469509</v>
      </c>
      <c r="R68" s="3">
        <f>[1]!ripe(R67,R$9+Lähteandmed!$E54*D$11,R$4,0)</f>
        <v>13.175741852394466</v>
      </c>
    </row>
    <row r="69" spans="1:18" x14ac:dyDescent="0.2">
      <c r="A69" s="42"/>
      <c r="B69" s="173"/>
      <c r="C69" s="76" t="s">
        <v>49</v>
      </c>
      <c r="D69" s="50">
        <f t="shared" ref="D69:K69" si="51">D68/D$4^2*1000000</f>
        <v>71.639936302379979</v>
      </c>
      <c r="E69" s="50">
        <f t="shared" si="51"/>
        <v>71.751753023175525</v>
      </c>
      <c r="F69" s="50">
        <f t="shared" si="51"/>
        <v>71.845621981020074</v>
      </c>
      <c r="G69" s="50">
        <f t="shared" si="51"/>
        <v>75.289109956843291</v>
      </c>
      <c r="H69" s="50">
        <f t="shared" si="51"/>
        <v>72.174455409102109</v>
      </c>
      <c r="I69" s="50">
        <f t="shared" si="51"/>
        <v>72.435192186285292</v>
      </c>
      <c r="J69" s="50">
        <f t="shared" si="51"/>
        <v>72.907489599383268</v>
      </c>
      <c r="K69" s="50">
        <f t="shared" si="51"/>
        <v>71.022617930681662</v>
      </c>
      <c r="L69" s="50">
        <f t="shared" ref="L69:Q69" si="52">L68/L$4^2*1000000</f>
        <v>72.900445390091775</v>
      </c>
      <c r="M69" s="50">
        <f t="shared" si="52"/>
        <v>71.098126159307697</v>
      </c>
      <c r="N69" s="50">
        <f t="shared" si="52"/>
        <v>71.235001913878534</v>
      </c>
      <c r="O69" s="50">
        <f t="shared" si="52"/>
        <v>72.935833323701814</v>
      </c>
      <c r="P69" s="50">
        <f t="shared" si="52"/>
        <v>74.931353175926787</v>
      </c>
      <c r="Q69" s="50">
        <f t="shared" si="52"/>
        <v>74.374183649744836</v>
      </c>
      <c r="R69" s="50">
        <f t="shared" ref="R69" si="53">R68/R$4^2*1000000</f>
        <v>72.265973459204474</v>
      </c>
    </row>
    <row r="70" spans="1:18" ht="38.25" x14ac:dyDescent="0.2">
      <c r="A70" s="159">
        <v>12</v>
      </c>
      <c r="B70" s="174" t="str">
        <f>Lähteandmed!B57</f>
        <v>Peale venimist Tmax</v>
      </c>
      <c r="C70" s="77" t="s">
        <v>222</v>
      </c>
      <c r="D70" s="9">
        <f>SQRT((kaalutegur R_12*[1]!juhe(D5,6)+jaitetegur R_12*[1]!Jaitekoormus_EN(D$5,JaideJ,hj))^2+(tuuletegur R_12*[1]!Tuulekoormus_en(D$5,Qj,hj,zo,D$4,JaideJ,jaitetegur R_12))^2)</f>
        <v>3.3099999999999997E-2</v>
      </c>
      <c r="E70" s="9">
        <f>SQRT((kaalutegur R_12*[1]!juhe(E5,6)+jaitetegur R_12*[1]!Jaitekoormus_EN(E$5,JaideJ,hj))^2+(tuuletegur R_12*[1]!Tuulekoormus_en(E$5,Qj,hj,zo,E$4,JaideJ,jaitetegur R_12))^2)</f>
        <v>3.3099999999999997E-2</v>
      </c>
      <c r="F70" s="9">
        <f>SQRT((kaalutegur R_12*[1]!juhe(F5,6)+jaitetegur R_12*[1]!Jaitekoormus_EN(F$5,JaideJ,hj))^2+(tuuletegur R_12*[1]!Tuulekoormus_en(F$5,Qj,hj,zo,F$4,JaideJ,jaitetegur R_12))^2)</f>
        <v>3.3099999999999997E-2</v>
      </c>
      <c r="G70" s="9">
        <f>SQRT((kaalutegur R_12*[1]!juhe(G5,6)+jaitetegur R_12*[1]!Jaitekoormus_EN(G$5,JaideJ,hj))^2+(tuuletegur R_12*[1]!Tuulekoormus_en(G$5,Qj,hj,zo,G$4,JaideJ,jaitetegur R_12))^2)</f>
        <v>3.3099999999999997E-2</v>
      </c>
      <c r="H70" s="9">
        <f>SQRT((kaalutegur R_12*[1]!juhe(H5,6)+jaitetegur R_12*[1]!Jaitekoormus_EN(H$5,JaideJ,hj))^2+(tuuletegur R_12*[1]!Tuulekoormus_en(H$5,Qj,hj,zo,H$4,JaideJ,jaitetegur R_12))^2)</f>
        <v>3.3099999999999997E-2</v>
      </c>
      <c r="I70" s="9">
        <f>SQRT((kaalutegur R_12*[1]!juhe(I5,6)+jaitetegur R_12*[1]!Jaitekoormus_EN(I$5,JaideJ,hj))^2+(tuuletegur R_12*[1]!Tuulekoormus_en(I$5,Qj,hj,zo,I$4,JaideJ,jaitetegur R_12))^2)</f>
        <v>3.3099999999999997E-2</v>
      </c>
      <c r="J70" s="9">
        <f>SQRT((kaalutegur R_12*[1]!juhe(J5,6)+jaitetegur R_12*[1]!Jaitekoormus_EN(J$5,JaideJ,hj))^2+(tuuletegur R_12*[1]!Tuulekoormus_en(J$5,Qj,hj,zo,J$4,JaideJ,jaitetegur R_12))^2)</f>
        <v>3.3099999999999997E-2</v>
      </c>
      <c r="K70" s="9">
        <f>SQRT((kaalutegur R_12*[1]!juhe(K5,6)+jaitetegur R_12*[1]!Jaitekoormus_EN(K$5,JaideJ,hj))^2+(tuuletegur R_12*[1]!Tuulekoormus_en(K$5,Qj,hj,zo,K$4,JaideJ,jaitetegur R_12))^2)</f>
        <v>3.3099999999999997E-2</v>
      </c>
      <c r="L70" s="9">
        <f>SQRT((kaalutegur R_12*[1]!juhe(L5,6)+jaitetegur R_12*[1]!Jaitekoormus_EN(L$5,JaideJ,hj))^2+(tuuletegur R_12*[1]!Tuulekoormus_en(L$5,Qj,hj,zo,L$4,JaideJ,jaitetegur R_12))^2)</f>
        <v>3.3099999999999997E-2</v>
      </c>
      <c r="M70" s="9">
        <f>SQRT((kaalutegur R_12*[1]!juhe(M5,6)+jaitetegur R_12*[1]!Jaitekoormus_EN(M$5,JaideJ,hj))^2+(tuuletegur R_12*[1]!Tuulekoormus_en(M$5,Qj,hj,zo,M$4,JaideJ,jaitetegur R_12))^2)</f>
        <v>3.3099999999999997E-2</v>
      </c>
      <c r="N70" s="9">
        <f>SQRT((kaalutegur R_12*[1]!juhe(N5,6)+jaitetegur R_12*[1]!Jaitekoormus_EN(N$5,JaideJ,hj))^2+(tuuletegur R_12*[1]!Tuulekoormus_en(N$5,Qj,hj,zo,N$4,JaideJ,jaitetegur R_12))^2)</f>
        <v>3.3099999999999997E-2</v>
      </c>
      <c r="O70" s="9">
        <f>SQRT((kaalutegur R_12*[1]!juhe(O5,6)+jaitetegur R_12*[1]!Jaitekoormus_EN(O$5,JaideJ,hj))^2+(tuuletegur R_12*[1]!Tuulekoormus_en(O$5,Qj,hj,zo,O$4,JaideJ,jaitetegur R_12))^2)</f>
        <v>3.3099999999999997E-2</v>
      </c>
      <c r="P70" s="9">
        <f>SQRT((kaalutegur R_12*[1]!juhe(P5,6)+jaitetegur R_12*[1]!Jaitekoormus_EN(P$5,JaideJ,hj))^2+(tuuletegur R_12*[1]!Tuulekoormus_en(P$5,Qj,hj,zo,P$4,JaideJ,jaitetegur R_12))^2)</f>
        <v>3.3099999999999997E-2</v>
      </c>
      <c r="Q70" s="9">
        <f>SQRT((kaalutegur R_12*[1]!juhe(Q5,6)+jaitetegur R_12*[1]!Jaitekoormus_EN(Q$5,JaideJ,hj))^2+(tuuletegur R_12*[1]!Tuulekoormus_en(Q$5,Qj,hj,zo,Q$4,JaideJ,jaitetegur R_12))^2)</f>
        <v>3.3099999999999997E-2</v>
      </c>
      <c r="R70" s="9">
        <f>SQRT((kaalutegur R_12*[1]!juhe(R5,6)+jaitetegur R_12*[1]!Jaitekoormus_EN(R$5,JaideJ,hj))^2+(tuuletegur R_12*[1]!Tuulekoormus_en(R$5,Qj,hj,zo,R$4,JaideJ,jaitetegur R_12))^2)</f>
        <v>3.3099999999999997E-2</v>
      </c>
    </row>
    <row r="71" spans="1:18" x14ac:dyDescent="0.2">
      <c r="A71" s="159"/>
      <c r="B71" s="174"/>
      <c r="C71" s="77" t="s">
        <v>104</v>
      </c>
      <c r="D71" s="22">
        <f>[1]!Olekuvorrand(D$4,D$5,D$6,5,D$9,Lähteandmed!$C57,D70)</f>
        <v>51.621139049530029</v>
      </c>
      <c r="E71" s="22">
        <f>[1]!Olekuvorrand(E$4,E$5,E$6,5,E$9,Lähteandmed!$C57,E70)</f>
        <v>51.474630832672119</v>
      </c>
      <c r="F71" s="22">
        <f>[1]!Olekuvorrand(F$4,F$5,F$6,5,F$9,Lähteandmed!$C57,F70)</f>
        <v>51.352441310882568</v>
      </c>
      <c r="G71" s="22">
        <f>[1]!Olekuvorrand(G$4,G$5,G$6,5,G$9,Lähteandmed!$C57,G70)</f>
        <v>47.223985195159912</v>
      </c>
      <c r="H71" s="22">
        <f>[1]!Olekuvorrand(H$4,H$5,H$6,5,H$9,Lähteandmed!$C57,H70)</f>
        <v>50.928771495819092</v>
      </c>
      <c r="I71" s="22">
        <f>[1]!Olekuvorrand(I$4,I$5,I$6,5,I$9,Lähteandmed!$C57,I70)</f>
        <v>50.59736967086792</v>
      </c>
      <c r="J71" s="22">
        <f>[1]!Olekuvorrand(J$4,J$5,J$6,5,J$9,Lähteandmed!$C57,J70)</f>
        <v>50.007879734039307</v>
      </c>
      <c r="K71" s="22">
        <f>[1]!Olekuvorrand(K$4,K$5,K$6,5,K$9,Lähteandmed!$C57,K70)</f>
        <v>52.444398403167725</v>
      </c>
      <c r="L71" s="22">
        <f>[1]!Olekuvorrand(L$4,L$5,L$6,5,L$9,Lähteandmed!$C57,L70)</f>
        <v>50.016582012176514</v>
      </c>
      <c r="M71" s="22">
        <f>[1]!Olekuvorrand(M$4,M$5,M$6,5,M$9,Lähteandmed!$C57,M70)</f>
        <v>52.342236042022705</v>
      </c>
      <c r="N71" s="22">
        <f>[1]!Olekuvorrand(N$4,N$5,N$6,5,N$9,Lähteandmed!$C57,N70)</f>
        <v>52.158176898956299</v>
      </c>
      <c r="O71" s="22">
        <f>[1]!Olekuvorrand(O$4,O$5,O$6,5,O$9,Lähteandmed!$C57,O70)</f>
        <v>49.972832202911377</v>
      </c>
      <c r="P71" s="22">
        <f>[1]!Olekuvorrand(P$4,P$5,P$6,5,P$9,Lähteandmed!$C57,P70)</f>
        <v>47.62345552444458</v>
      </c>
      <c r="Q71" s="22">
        <f>[1]!Olekuvorrand(Q$4,Q$5,Q$6,5,Q$9,Lähteandmed!$C57,Q70)</f>
        <v>48.258125782012939</v>
      </c>
      <c r="R71" s="22">
        <f>[1]!Olekuvorrand(R$4,R$5,R$6,5,R$9,Lähteandmed!$C57,R70)</f>
        <v>50.811827182769775</v>
      </c>
    </row>
    <row r="72" spans="1:18" x14ac:dyDescent="0.2">
      <c r="A72" s="159"/>
      <c r="B72" s="174"/>
      <c r="C72" s="77" t="s">
        <v>105</v>
      </c>
      <c r="D72" s="9">
        <f>[1]!ripe(D71,D$9+Lähteandmed!$E57*D$11,D$4,0)</f>
        <v>16.029608856508695</v>
      </c>
      <c r="E72" s="9">
        <f>[1]!ripe(E71,E$9+Lähteandmed!$E57*D$11,E$4,0)</f>
        <v>15.804787669399996</v>
      </c>
      <c r="F72" s="9">
        <f>[1]!ripe(F71,F$9+Lähteandmed!$E57*D$11,F$4,0)</f>
        <v>15.621096631273451</v>
      </c>
      <c r="G72" s="9">
        <f>[1]!ripe(G71,G$9+Lähteandmed!$E57*D$11,G$4,0)</f>
        <v>10.903719268910114</v>
      </c>
      <c r="H72" s="9">
        <f>[1]!ripe(H71,H$9+Lähteandmed!$E57*D$11,H$4,0)</f>
        <v>15.008661990388251</v>
      </c>
      <c r="I72" s="9">
        <f>[1]!ripe(I71,I$9+Lähteandmed!$E57*D$11,I$4,0)</f>
        <v>14.555052288920354</v>
      </c>
      <c r="J72" s="9">
        <f>[1]!ripe(J71,J$9+Lähteandmed!$E57*D$11,J$4,0)</f>
        <v>13.797737331000143</v>
      </c>
      <c r="K72" s="9">
        <f>[1]!ripe(K71,K$9+Lähteandmed!$E57*D$11,K$4,0)</f>
        <v>17.39025468100451</v>
      </c>
      <c r="L72" s="9">
        <f>[1]!ripe(L71,L$9+Lähteandmed!$E57*D$11,L$4,0)</f>
        <v>13.808483268897493</v>
      </c>
      <c r="M72" s="9">
        <f>[1]!ripe(M71,M$9+Lähteandmed!$E57*D$11,M$4,0)</f>
        <v>17.211724482353432</v>
      </c>
      <c r="N72" s="9">
        <f>[1]!ripe(N71,N$9+Lähteandmed!$E57*D$11,N$4,0)</f>
        <v>16.897337619280027</v>
      </c>
      <c r="O72" s="9">
        <f>[1]!ripe(O71,O$9+Lähteandmed!$E57*D$11,O$4,0)</f>
        <v>13.754711307889856</v>
      </c>
      <c r="P72" s="9">
        <f>[1]!ripe(P71,P$9+Lähteandmed!$E57*D$11,P$4,0)</f>
        <v>11.261686188380514</v>
      </c>
      <c r="Q72" s="9">
        <f>[1]!ripe(Q71,Q$9+Lähteandmed!$E57*D$11,Q$4,0)</f>
        <v>11.865786620088336</v>
      </c>
      <c r="R72" s="9">
        <f>[1]!ripe(R71,R$9+Lähteandmed!$E57*D$11,R$4,0)</f>
        <v>14.846169495852902</v>
      </c>
    </row>
    <row r="73" spans="1:18" x14ac:dyDescent="0.2">
      <c r="A73" s="39"/>
      <c r="B73" s="174"/>
      <c r="C73" s="77" t="s">
        <v>49</v>
      </c>
      <c r="D73" s="51">
        <f t="shared" ref="D73:K73" si="54">D72/D$4^2*1000000</f>
        <v>80.15127283476069</v>
      </c>
      <c r="E73" s="51">
        <f t="shared" si="54"/>
        <v>80.379401135478062</v>
      </c>
      <c r="F73" s="51">
        <f t="shared" si="54"/>
        <v>80.570658266312719</v>
      </c>
      <c r="G73" s="51">
        <f t="shared" si="54"/>
        <v>87.614376103608905</v>
      </c>
      <c r="H73" s="51">
        <f t="shared" si="54"/>
        <v>81.240915075669164</v>
      </c>
      <c r="I73" s="51">
        <f t="shared" si="54"/>
        <v>81.77302549350145</v>
      </c>
      <c r="J73" s="51">
        <f t="shared" si="54"/>
        <v>82.736961095027013</v>
      </c>
      <c r="K73" s="51">
        <f t="shared" si="54"/>
        <v>78.893077735258927</v>
      </c>
      <c r="L73" s="51">
        <f t="shared" ref="L73:Q73" si="55">L72/L$4^2*1000000</f>
        <v>82.722565868110053</v>
      </c>
      <c r="M73" s="51">
        <f t="shared" si="55"/>
        <v>79.0470624273336</v>
      </c>
      <c r="N73" s="51">
        <f t="shared" si="55"/>
        <v>79.326008806162719</v>
      </c>
      <c r="O73" s="51">
        <f t="shared" si="55"/>
        <v>82.794987148215966</v>
      </c>
      <c r="P73" s="51">
        <f t="shared" si="55"/>
        <v>86.879457914939991</v>
      </c>
      <c r="Q73" s="51">
        <f t="shared" si="55"/>
        <v>85.736856393667779</v>
      </c>
      <c r="R73" s="51">
        <f t="shared" ref="R73" si="56">R72/R$4^2*1000000</f>
        <v>81.427892469157669</v>
      </c>
    </row>
    <row r="74" spans="1:18" ht="14.25" customHeight="1" x14ac:dyDescent="0.2">
      <c r="A74" s="172">
        <v>13</v>
      </c>
      <c r="B74" s="173">
        <f>Lähteandmed!B60</f>
        <v>0</v>
      </c>
      <c r="C74" s="76" t="s">
        <v>222</v>
      </c>
      <c r="D74" s="6">
        <f>SQRT((kaalutegur R_13*[1]!juhe(D5,6)+jaitetegur R_13*[1]!Jaitekoormus_EN(D$5,JaideJ,hj))^2+(tuuletegur R_13*[1]!Tuulekoormus_en(D$5,Qj,hj,zo,D$4,JaideJ,jaitetegur R_13))^2)</f>
        <v>0</v>
      </c>
      <c r="E74" s="6">
        <f>SQRT((kaalutegur R_13*[1]!juhe(E5,6)+jaitetegur R_13*[1]!Jaitekoormus_EN(E$5,JaideJ,hj))^2+(tuuletegur R_13*[1]!Tuulekoormus_en(E$5,Qj,hj,zo,E$4,JaideJ,jaitetegur R_13))^2)</f>
        <v>0</v>
      </c>
      <c r="F74" s="6">
        <f>SQRT((kaalutegur R_13*[1]!juhe(F5,6)+jaitetegur R_13*[1]!Jaitekoormus_EN(F$5,JaideJ,hj))^2+(tuuletegur R_13*[1]!Tuulekoormus_en(F$5,Qj,hj,zo,F$4,JaideJ,jaitetegur R_13))^2)</f>
        <v>0</v>
      </c>
      <c r="G74" s="6">
        <f>SQRT((kaalutegur R_13*[1]!juhe(G5,6)+jaitetegur R_13*[1]!Jaitekoormus_EN(G$5,JaideJ,hj))^2+(tuuletegur R_13*[1]!Tuulekoormus_en(G$5,Qj,hj,zo,G$4,JaideJ,jaitetegur R_13))^2)</f>
        <v>0</v>
      </c>
      <c r="H74" s="6">
        <f>SQRT((kaalutegur R_13*[1]!juhe(H5,6)+jaitetegur R_13*[1]!Jaitekoormus_EN(H$5,JaideJ,hj))^2+(tuuletegur R_13*[1]!Tuulekoormus_en(H$5,Qj,hj,zo,H$4,JaideJ,jaitetegur R_13))^2)</f>
        <v>0</v>
      </c>
      <c r="I74" s="6">
        <f>SQRT((kaalutegur R_13*[1]!juhe(I5,6)+jaitetegur R_13*[1]!Jaitekoormus_EN(I$5,JaideJ,hj))^2+(tuuletegur R_13*[1]!Tuulekoormus_en(I$5,Qj,hj,zo,I$4,JaideJ,jaitetegur R_13))^2)</f>
        <v>0</v>
      </c>
      <c r="J74" s="6">
        <f>SQRT((kaalutegur R_13*[1]!juhe(J5,6)+jaitetegur R_13*[1]!Jaitekoormus_EN(J$5,JaideJ,hj))^2+(tuuletegur R_13*[1]!Tuulekoormus_en(J$5,Qj,hj,zo,J$4,JaideJ,jaitetegur R_13))^2)</f>
        <v>0</v>
      </c>
      <c r="K74" s="6">
        <f>SQRT((kaalutegur R_13*[1]!juhe(K5,6)+jaitetegur R_13*[1]!Jaitekoormus_EN(K$5,JaideJ,hj))^2+(tuuletegur R_13*[1]!Tuulekoormus_en(K$5,Qj,hj,zo,K$4,JaideJ,jaitetegur R_13))^2)</f>
        <v>0</v>
      </c>
      <c r="L74" s="6">
        <f>SQRT((kaalutegur R_13*[1]!juhe(L5,6)+jaitetegur R_13*[1]!Jaitekoormus_EN(L$5,JaideJ,hj))^2+(tuuletegur R_13*[1]!Tuulekoormus_en(L$5,Qj,hj,zo,L$4,JaideJ,jaitetegur R_13))^2)</f>
        <v>0</v>
      </c>
      <c r="M74" s="6">
        <f>SQRT((kaalutegur R_13*[1]!juhe(M5,6)+jaitetegur R_13*[1]!Jaitekoormus_EN(M$5,JaideJ,hj))^2+(tuuletegur R_13*[1]!Tuulekoormus_en(M$5,Qj,hj,zo,M$4,JaideJ,jaitetegur R_13))^2)</f>
        <v>0</v>
      </c>
      <c r="N74" s="6">
        <f>SQRT((kaalutegur R_13*[1]!juhe(N5,6)+jaitetegur R_13*[1]!Jaitekoormus_EN(N$5,JaideJ,hj))^2+(tuuletegur R_13*[1]!Tuulekoormus_en(N$5,Qj,hj,zo,N$4,JaideJ,jaitetegur R_13))^2)</f>
        <v>0</v>
      </c>
      <c r="O74" s="6">
        <f>SQRT((kaalutegur R_13*[1]!juhe(O5,6)+jaitetegur R_13*[1]!Jaitekoormus_EN(O$5,JaideJ,hj))^2+(tuuletegur R_13*[1]!Tuulekoormus_en(O$5,Qj,hj,zo,O$4,JaideJ,jaitetegur R_13))^2)</f>
        <v>0</v>
      </c>
      <c r="P74" s="6">
        <f>SQRT((kaalutegur R_13*[1]!juhe(P5,6)+jaitetegur R_13*[1]!Jaitekoormus_EN(P$5,JaideJ,hj))^2+(tuuletegur R_13*[1]!Tuulekoormus_en(P$5,Qj,hj,zo,P$4,JaideJ,jaitetegur R_13))^2)</f>
        <v>0</v>
      </c>
      <c r="Q74" s="6">
        <f>SQRT((kaalutegur R_13*[1]!juhe(Q5,6)+jaitetegur R_13*[1]!Jaitekoormus_EN(Q$5,JaideJ,hj))^2+(tuuletegur R_13*[1]!Tuulekoormus_en(Q$5,Qj,hj,zo,Q$4,JaideJ,jaitetegur R_13))^2)</f>
        <v>0</v>
      </c>
      <c r="R74" s="6">
        <f>SQRT((kaalutegur R_13*[1]!juhe(R5,6)+jaitetegur R_13*[1]!Jaitekoormus_EN(R$5,JaideJ,hj))^2+(tuuletegur R_13*[1]!Tuulekoormus_en(R$5,Qj,hj,zo,R$4,JaideJ,jaitetegur R_13))^2)</f>
        <v>0</v>
      </c>
    </row>
    <row r="75" spans="1:18" ht="14.25" customHeight="1" x14ac:dyDescent="0.2">
      <c r="A75" s="172"/>
      <c r="B75" s="173"/>
      <c r="C75" s="76" t="s">
        <v>104</v>
      </c>
      <c r="D75" s="3">
        <f>[1]!Olekuvorrand(D$4,D$5,D$6,5,D$9,Lähteandmed!$C60,D74)</f>
        <v>0</v>
      </c>
      <c r="E75" s="3">
        <f>[1]!Olekuvorrand(E$4,E$5,E$6,5,E$9,Lähteandmed!$C60,E74)</f>
        <v>0</v>
      </c>
      <c r="F75" s="3">
        <f>[1]!Olekuvorrand(F$4,F$5,F$6,5,F$9,Lähteandmed!$C60,F74)</f>
        <v>0</v>
      </c>
      <c r="G75" s="3">
        <f>[1]!Olekuvorrand(G$4,G$5,G$6,5,G$9,Lähteandmed!$C60,G74)</f>
        <v>0</v>
      </c>
      <c r="H75" s="3">
        <f>[1]!Olekuvorrand(H$4,H$5,H$6,5,H$9,Lähteandmed!$C60,H74)</f>
        <v>0</v>
      </c>
      <c r="I75" s="3">
        <f>[1]!Olekuvorrand(I$4,I$5,I$6,5,I$9,Lähteandmed!$C60,I74)</f>
        <v>0</v>
      </c>
      <c r="J75" s="3">
        <f>[1]!Olekuvorrand(J$4,J$5,J$6,5,J$9,Lähteandmed!$C60,J74)</f>
        <v>0</v>
      </c>
      <c r="K75" s="3">
        <f>[1]!Olekuvorrand(K$4,K$5,K$6,5,K$9,Lähteandmed!$C60,K74)</f>
        <v>0</v>
      </c>
      <c r="L75" s="3">
        <f>[1]!Olekuvorrand(L$4,L$5,L$6,5,L$9,Lähteandmed!$C60,L74)</f>
        <v>0</v>
      </c>
      <c r="M75" s="3">
        <f>[1]!Olekuvorrand(M$4,M$5,M$6,5,M$9,Lähteandmed!$C60,M74)</f>
        <v>0</v>
      </c>
      <c r="N75" s="3">
        <f>[1]!Olekuvorrand(N$4,N$5,N$6,5,N$9,Lähteandmed!$C60,N74)</f>
        <v>0</v>
      </c>
      <c r="O75" s="3">
        <f>[1]!Olekuvorrand(O$4,O$5,O$6,5,O$9,Lähteandmed!$C60,O74)</f>
        <v>0</v>
      </c>
      <c r="P75" s="3">
        <f>[1]!Olekuvorrand(P$4,P$5,P$6,5,P$9,Lähteandmed!$C60,P74)</f>
        <v>0</v>
      </c>
      <c r="Q75" s="3">
        <f>[1]!Olekuvorrand(Q$4,Q$5,Q$6,5,Q$9,Lähteandmed!$C60,Q74)</f>
        <v>0</v>
      </c>
      <c r="R75" s="3">
        <f>[1]!Olekuvorrand(R$4,R$5,R$6,5,R$9,Lähteandmed!$C60,R74)</f>
        <v>0</v>
      </c>
    </row>
    <row r="76" spans="1:18" ht="14.25" customHeight="1" x14ac:dyDescent="0.2">
      <c r="A76" s="172"/>
      <c r="B76" s="173"/>
      <c r="C76" s="76" t="s">
        <v>105</v>
      </c>
      <c r="D76" s="3">
        <f>[1]!ripe(D75,D$9+Lähteandmed!$E60*D$11,D$4,0)</f>
        <v>0</v>
      </c>
      <c r="E76" s="3">
        <f>[1]!ripe(E75,E$9+Lähteandmed!$E60*D$11,E$4,0)</f>
        <v>0</v>
      </c>
      <c r="F76" s="3">
        <f>[1]!ripe(F75,F$9+Lähteandmed!$E60*D$11,F$4,0)</f>
        <v>0</v>
      </c>
      <c r="G76" s="3">
        <f>[1]!ripe(G75,G$9+Lähteandmed!$E60*D$11,G$4,0)</f>
        <v>0</v>
      </c>
      <c r="H76" s="3">
        <f>[1]!ripe(H75,H$9+Lähteandmed!$E60*D$11,H$4,0)</f>
        <v>0</v>
      </c>
      <c r="I76" s="3">
        <f>[1]!ripe(I75,I$9+Lähteandmed!$E60*D$11,I$4,0)</f>
        <v>0</v>
      </c>
      <c r="J76" s="3">
        <f>[1]!ripe(J75,J$9+Lähteandmed!$E60*D$11,J$4,0)</f>
        <v>0</v>
      </c>
      <c r="K76" s="3">
        <f>[1]!ripe(K75,K$9+Lähteandmed!$E60*D$11,K$4,0)</f>
        <v>0</v>
      </c>
      <c r="L76" s="3">
        <f>[1]!ripe(L75,L$9+Lähteandmed!$E60*D$11,L$4,0)</f>
        <v>0</v>
      </c>
      <c r="M76" s="3">
        <f>[1]!ripe(M75,M$9+Lähteandmed!$E60*D$11,M$4,0)</f>
        <v>0</v>
      </c>
      <c r="N76" s="3">
        <f>[1]!ripe(N75,N$9+Lähteandmed!$E60*D$11,N$4,0)</f>
        <v>0</v>
      </c>
      <c r="O76" s="3">
        <f>[1]!ripe(O75,O$9+Lähteandmed!$E60*D$11,O$4,0)</f>
        <v>0</v>
      </c>
      <c r="P76" s="3">
        <f>[1]!ripe(P75,P$9+Lähteandmed!$E60*D$11,P$4,0)</f>
        <v>0</v>
      </c>
      <c r="Q76" s="3">
        <f>[1]!ripe(Q75,Q$9+Lähteandmed!$E60*D$11,Q$4,0)</f>
        <v>0</v>
      </c>
      <c r="R76" s="3">
        <f>[1]!ripe(R75,R$9+Lähteandmed!$E60*D$11,R$4,0)</f>
        <v>0</v>
      </c>
    </row>
    <row r="77" spans="1:18" ht="14.25" customHeight="1" x14ac:dyDescent="0.2">
      <c r="A77" s="42"/>
      <c r="B77" s="173"/>
      <c r="C77" s="76" t="s">
        <v>49</v>
      </c>
      <c r="D77" s="50">
        <f t="shared" ref="D77:K77" si="57">D76/D$4^2*1000000</f>
        <v>0</v>
      </c>
      <c r="E77" s="50">
        <f t="shared" si="57"/>
        <v>0</v>
      </c>
      <c r="F77" s="50">
        <f t="shared" si="57"/>
        <v>0</v>
      </c>
      <c r="G77" s="50">
        <f t="shared" si="57"/>
        <v>0</v>
      </c>
      <c r="H77" s="50">
        <f t="shared" si="57"/>
        <v>0</v>
      </c>
      <c r="I77" s="50">
        <f t="shared" si="57"/>
        <v>0</v>
      </c>
      <c r="J77" s="50">
        <f t="shared" si="57"/>
        <v>0</v>
      </c>
      <c r="K77" s="50">
        <f t="shared" si="57"/>
        <v>0</v>
      </c>
      <c r="L77" s="50">
        <f t="shared" ref="L77:Q77" si="58">L76/L$4^2*1000000</f>
        <v>0</v>
      </c>
      <c r="M77" s="50">
        <f t="shared" si="58"/>
        <v>0</v>
      </c>
      <c r="N77" s="50">
        <f t="shared" si="58"/>
        <v>0</v>
      </c>
      <c r="O77" s="50">
        <f t="shared" si="58"/>
        <v>0</v>
      </c>
      <c r="P77" s="50">
        <f t="shared" si="58"/>
        <v>0</v>
      </c>
      <c r="Q77" s="50">
        <f t="shared" si="58"/>
        <v>0</v>
      </c>
      <c r="R77" s="50">
        <f t="shared" ref="R77" si="59">R76/R$4^2*1000000</f>
        <v>0</v>
      </c>
    </row>
    <row r="78" spans="1:18" ht="38.25" x14ac:dyDescent="0.2">
      <c r="A78" s="159">
        <v>14</v>
      </c>
      <c r="B78" s="174">
        <f>Lähteandmed!B63</f>
        <v>0</v>
      </c>
      <c r="C78" s="77" t="s">
        <v>222</v>
      </c>
      <c r="D78" s="9">
        <f>SQRT((kaalutegur R_14*[1]!juhe(D5,6)+jaitetegur R_14*[1]!Jaitekoormus_EN(D$5,JaideJ,hj))^2+(tuuletegur R_14*[1]!Tuulekoormus_en(D$5,Qj,hj,zo,D$4,JaideJ,jaitetegur R_14))^2)</f>
        <v>0</v>
      </c>
      <c r="E78" s="9">
        <f>SQRT((kaalutegur R_14*[1]!juhe(E5,6)+jaitetegur R_14*[1]!Jaitekoormus_EN(E$5,JaideJ,hj))^2+(tuuletegur R_14*[1]!Tuulekoormus_en(E$5,Qj,hj,zo,E$4,JaideJ,jaitetegur R_14))^2)</f>
        <v>0</v>
      </c>
      <c r="F78" s="9">
        <f>SQRT((kaalutegur R_14*[1]!juhe(F5,6)+jaitetegur R_14*[1]!Jaitekoormus_EN(F$5,JaideJ,hj))^2+(tuuletegur R_14*[1]!Tuulekoormus_en(F$5,Qj,hj,zo,F$4,JaideJ,jaitetegur R_14))^2)</f>
        <v>0</v>
      </c>
      <c r="G78" s="9">
        <f>SQRT((kaalutegur R_14*[1]!juhe(G5,6)+jaitetegur R_14*[1]!Jaitekoormus_EN(G$5,JaideJ,hj))^2+(tuuletegur R_14*[1]!Tuulekoormus_en(G$5,Qj,hj,zo,G$4,JaideJ,jaitetegur R_14))^2)</f>
        <v>0</v>
      </c>
      <c r="H78" s="9">
        <f>SQRT((kaalutegur R_14*[1]!juhe(H5,6)+jaitetegur R_14*[1]!Jaitekoormus_EN(H$5,JaideJ,hj))^2+(tuuletegur R_14*[1]!Tuulekoormus_en(H$5,Qj,hj,zo,H$4,JaideJ,jaitetegur R_14))^2)</f>
        <v>0</v>
      </c>
      <c r="I78" s="9">
        <f>SQRT((kaalutegur R_14*[1]!juhe(I5,6)+jaitetegur R_14*[1]!Jaitekoormus_EN(I$5,JaideJ,hj))^2+(tuuletegur R_14*[1]!Tuulekoormus_en(I$5,Qj,hj,zo,I$4,JaideJ,jaitetegur R_14))^2)</f>
        <v>0</v>
      </c>
      <c r="J78" s="9">
        <f>SQRT((kaalutegur R_14*[1]!juhe(J5,6)+jaitetegur R_14*[1]!Jaitekoormus_EN(J$5,JaideJ,hj))^2+(tuuletegur R_14*[1]!Tuulekoormus_en(J$5,Qj,hj,zo,J$4,JaideJ,jaitetegur R_14))^2)</f>
        <v>0</v>
      </c>
      <c r="K78" s="9">
        <f>SQRT((kaalutegur R_14*[1]!juhe(K5,6)+jaitetegur R_14*[1]!Jaitekoormus_EN(K$5,JaideJ,hj))^2+(tuuletegur R_14*[1]!Tuulekoormus_en(K$5,Qj,hj,zo,K$4,JaideJ,jaitetegur R_14))^2)</f>
        <v>0</v>
      </c>
      <c r="L78" s="9">
        <f>SQRT((kaalutegur R_14*[1]!juhe(L5,6)+jaitetegur R_14*[1]!Jaitekoormus_EN(L$5,JaideJ,hj))^2+(tuuletegur R_14*[1]!Tuulekoormus_en(L$5,Qj,hj,zo,L$4,JaideJ,jaitetegur R_14))^2)</f>
        <v>0</v>
      </c>
      <c r="M78" s="9">
        <f>SQRT((kaalutegur R_14*[1]!juhe(M5,6)+jaitetegur R_14*[1]!Jaitekoormus_EN(M$5,JaideJ,hj))^2+(tuuletegur R_14*[1]!Tuulekoormus_en(M$5,Qj,hj,zo,M$4,JaideJ,jaitetegur R_14))^2)</f>
        <v>0</v>
      </c>
      <c r="N78" s="9">
        <f>SQRT((kaalutegur R_14*[1]!juhe(N5,6)+jaitetegur R_14*[1]!Jaitekoormus_EN(N$5,JaideJ,hj))^2+(tuuletegur R_14*[1]!Tuulekoormus_en(N$5,Qj,hj,zo,N$4,JaideJ,jaitetegur R_14))^2)</f>
        <v>0</v>
      </c>
      <c r="O78" s="9">
        <f>SQRT((kaalutegur R_14*[1]!juhe(O5,6)+jaitetegur R_14*[1]!Jaitekoormus_EN(O$5,JaideJ,hj))^2+(tuuletegur R_14*[1]!Tuulekoormus_en(O$5,Qj,hj,zo,O$4,JaideJ,jaitetegur R_14))^2)</f>
        <v>0</v>
      </c>
      <c r="P78" s="9">
        <f>SQRT((kaalutegur R_14*[1]!juhe(P5,6)+jaitetegur R_14*[1]!Jaitekoormus_EN(P$5,JaideJ,hj))^2+(tuuletegur R_14*[1]!Tuulekoormus_en(P$5,Qj,hj,zo,P$4,JaideJ,jaitetegur R_14))^2)</f>
        <v>0</v>
      </c>
      <c r="Q78" s="9">
        <f>SQRT((kaalutegur R_14*[1]!juhe(Q5,6)+jaitetegur R_14*[1]!Jaitekoormus_EN(Q$5,JaideJ,hj))^2+(tuuletegur R_14*[1]!Tuulekoormus_en(Q$5,Qj,hj,zo,Q$4,JaideJ,jaitetegur R_14))^2)</f>
        <v>0</v>
      </c>
      <c r="R78" s="9">
        <f>SQRT((kaalutegur R_14*[1]!juhe(R5,6)+jaitetegur R_14*[1]!Jaitekoormus_EN(R$5,JaideJ,hj))^2+(tuuletegur R_14*[1]!Tuulekoormus_en(R$5,Qj,hj,zo,R$4,JaideJ,jaitetegur R_14))^2)</f>
        <v>0</v>
      </c>
    </row>
    <row r="79" spans="1:18" x14ac:dyDescent="0.2">
      <c r="A79" s="159"/>
      <c r="B79" s="174"/>
      <c r="C79" s="77" t="s">
        <v>104</v>
      </c>
      <c r="D79" s="22">
        <f>[1]!Olekuvorrand(D$4,D$5,D$6,5,D$9,Lähteandmed!$C63,D78)</f>
        <v>0</v>
      </c>
      <c r="E79" s="22">
        <f>[1]!Olekuvorrand(E$4,E$5,E$6,5,E$9,Lähteandmed!$C63,E78)</f>
        <v>0</v>
      </c>
      <c r="F79" s="22">
        <f>[1]!Olekuvorrand(F$4,F$5,F$6,5,F$9,Lähteandmed!$C63,F78)</f>
        <v>0</v>
      </c>
      <c r="G79" s="22">
        <f>[1]!Olekuvorrand(G$4,G$5,G$6,5,G$9,Lähteandmed!$C63,G78)</f>
        <v>0</v>
      </c>
      <c r="H79" s="22">
        <f>[1]!Olekuvorrand(H$4,H$5,H$6,5,H$9,Lähteandmed!$C63,H78)</f>
        <v>0</v>
      </c>
      <c r="I79" s="22">
        <f>[1]!Olekuvorrand(I$4,I$5,I$6,5,I$9,Lähteandmed!$C63,I78)</f>
        <v>0</v>
      </c>
      <c r="J79" s="22">
        <f>[1]!Olekuvorrand(J$4,J$5,J$6,5,J$9,Lähteandmed!$C63,J78)</f>
        <v>0</v>
      </c>
      <c r="K79" s="22">
        <f>[1]!Olekuvorrand(K$4,K$5,K$6,5,K$9,Lähteandmed!$C63,K78)</f>
        <v>0</v>
      </c>
      <c r="L79" s="22">
        <f>[1]!Olekuvorrand(L$4,L$5,L$6,5,L$9,Lähteandmed!$C63,L78)</f>
        <v>0</v>
      </c>
      <c r="M79" s="22">
        <f>[1]!Olekuvorrand(M$4,M$5,M$6,5,M$9,Lähteandmed!$C63,M78)</f>
        <v>0</v>
      </c>
      <c r="N79" s="22">
        <f>[1]!Olekuvorrand(N$4,N$5,N$6,5,N$9,Lähteandmed!$C63,N78)</f>
        <v>0</v>
      </c>
      <c r="O79" s="22">
        <f>[1]!Olekuvorrand(O$4,O$5,O$6,5,O$9,Lähteandmed!$C63,O78)</f>
        <v>0</v>
      </c>
      <c r="P79" s="22">
        <f>[1]!Olekuvorrand(P$4,P$5,P$6,5,P$9,Lähteandmed!$C63,P78)</f>
        <v>0</v>
      </c>
      <c r="Q79" s="22">
        <f>[1]!Olekuvorrand(Q$4,Q$5,Q$6,5,Q$9,Lähteandmed!$C63,Q78)</f>
        <v>0</v>
      </c>
      <c r="R79" s="22">
        <f>[1]!Olekuvorrand(R$4,R$5,R$6,5,R$9,Lähteandmed!$C63,R78)</f>
        <v>0</v>
      </c>
    </row>
    <row r="80" spans="1:18" x14ac:dyDescent="0.2">
      <c r="A80" s="159"/>
      <c r="B80" s="174"/>
      <c r="C80" s="77" t="s">
        <v>105</v>
      </c>
      <c r="D80" s="9">
        <f>[1]!ripe(D79,D$9+Lähteandmed!$E63*D$11,D$4,0)</f>
        <v>0</v>
      </c>
      <c r="E80" s="9">
        <f>[1]!ripe(E79,E$9+Lähteandmed!$E63*D$11,E$4,0)</f>
        <v>0</v>
      </c>
      <c r="F80" s="9">
        <f>[1]!ripe(F79,F$9+Lähteandmed!$E63*D$11,F$4,0)</f>
        <v>0</v>
      </c>
      <c r="G80" s="9">
        <f>[1]!ripe(G79,G$9+Lähteandmed!$E63*D$11,G$4,0)</f>
        <v>0</v>
      </c>
      <c r="H80" s="9">
        <f>[1]!ripe(H79,H$9+Lähteandmed!$E63*D$11,H$4,0)</f>
        <v>0</v>
      </c>
      <c r="I80" s="9">
        <f>[1]!ripe(I79,I$9+Lähteandmed!$E63*D$11,I$4,0)</f>
        <v>0</v>
      </c>
      <c r="J80" s="9">
        <f>[1]!ripe(J79,J$9+Lähteandmed!$E63*D$11,J$4,0)</f>
        <v>0</v>
      </c>
      <c r="K80" s="9">
        <f>[1]!ripe(K79,K$9+Lähteandmed!$E63*D$11,K$4,0)</f>
        <v>0</v>
      </c>
      <c r="L80" s="9">
        <f>[1]!ripe(L79,L$9+Lähteandmed!$E63*D$11,L$4,0)</f>
        <v>0</v>
      </c>
      <c r="M80" s="9">
        <f>[1]!ripe(M79,M$9+Lähteandmed!$E63*D$11,M$4,0)</f>
        <v>0</v>
      </c>
      <c r="N80" s="9">
        <f>[1]!ripe(N79,N$9+Lähteandmed!$E63*D$11,N$4,0)</f>
        <v>0</v>
      </c>
      <c r="O80" s="9">
        <f>[1]!ripe(O79,O$9+Lähteandmed!$E63*D$11,O$4,0)</f>
        <v>0</v>
      </c>
      <c r="P80" s="9">
        <f>[1]!ripe(P79,P$9+Lähteandmed!$E63*D$11,P$4,0)</f>
        <v>0</v>
      </c>
      <c r="Q80" s="9">
        <f>[1]!ripe(Q79,Q$9+Lähteandmed!$E63*D$11,Q$4,0)</f>
        <v>0</v>
      </c>
      <c r="R80" s="9">
        <f>[1]!ripe(R79,R$9+Lähteandmed!$E63*D$11,R$4,0)</f>
        <v>0</v>
      </c>
    </row>
    <row r="81" spans="1:18" x14ac:dyDescent="0.2">
      <c r="A81" s="39"/>
      <c r="B81" s="174"/>
      <c r="C81" s="77" t="s">
        <v>49</v>
      </c>
      <c r="D81" s="51">
        <f t="shared" ref="D81:K81" si="60">D80/D$4^2*1000000</f>
        <v>0</v>
      </c>
      <c r="E81" s="51">
        <f t="shared" si="60"/>
        <v>0</v>
      </c>
      <c r="F81" s="51">
        <f t="shared" si="60"/>
        <v>0</v>
      </c>
      <c r="G81" s="51">
        <f t="shared" si="60"/>
        <v>0</v>
      </c>
      <c r="H81" s="51">
        <f t="shared" si="60"/>
        <v>0</v>
      </c>
      <c r="I81" s="51">
        <f t="shared" si="60"/>
        <v>0</v>
      </c>
      <c r="J81" s="51">
        <f t="shared" si="60"/>
        <v>0</v>
      </c>
      <c r="K81" s="51">
        <f t="shared" si="60"/>
        <v>0</v>
      </c>
      <c r="L81" s="51">
        <f t="shared" ref="L81:Q81" si="61">L80/L$4^2*1000000</f>
        <v>0</v>
      </c>
      <c r="M81" s="51">
        <f t="shared" si="61"/>
        <v>0</v>
      </c>
      <c r="N81" s="51">
        <f t="shared" si="61"/>
        <v>0</v>
      </c>
      <c r="O81" s="51">
        <f t="shared" si="61"/>
        <v>0</v>
      </c>
      <c r="P81" s="51">
        <f t="shared" si="61"/>
        <v>0</v>
      </c>
      <c r="Q81" s="51">
        <f t="shared" si="61"/>
        <v>0</v>
      </c>
      <c r="R81" s="51">
        <f t="shared" ref="R81" si="62">R80/R$4^2*1000000</f>
        <v>0</v>
      </c>
    </row>
    <row r="82" spans="1:18" ht="38.25" x14ac:dyDescent="0.2">
      <c r="A82" s="172">
        <v>15</v>
      </c>
      <c r="B82" s="173">
        <f>Lähteandmed!B66</f>
        <v>0</v>
      </c>
      <c r="C82" s="76" t="s">
        <v>222</v>
      </c>
      <c r="D82" s="6">
        <f>SQRT((kaalutegur R_15*[1]!juhe(D5,6)+jaitetegur R_15*[1]!Jaitekoormus_EN(D$5,JaideJ,hj))^2+(tuuletegur R_15*[1]!Tuulekoormus_en(D$5,Qj,hj,zo,D$4,JaideJ,jaitetegur R_15))^2)</f>
        <v>0</v>
      </c>
      <c r="E82" s="6">
        <f>SQRT((kaalutegur R_15*[1]!juhe(E5,6)+jaitetegur R_15*[1]!Jaitekoormus_EN(E$5,JaideJ,hj))^2+(tuuletegur R_15*[1]!Tuulekoormus_en(E$5,Qj,hj,zo,E$4,JaideJ,jaitetegur R_15))^2)</f>
        <v>0</v>
      </c>
      <c r="F82" s="6">
        <f>SQRT((kaalutegur R_15*[1]!juhe(F5,6)+jaitetegur R_15*[1]!Jaitekoormus_EN(F$5,JaideJ,hj))^2+(tuuletegur R_15*[1]!Tuulekoormus_en(F$5,Qj,hj,zo,F$4,JaideJ,jaitetegur R_15))^2)</f>
        <v>0</v>
      </c>
      <c r="G82" s="6">
        <f>SQRT((kaalutegur R_15*[1]!juhe(G5,6)+jaitetegur R_15*[1]!Jaitekoormus_EN(G$5,JaideJ,hj))^2+(tuuletegur R_15*[1]!Tuulekoormus_en(G$5,Qj,hj,zo,G$4,JaideJ,jaitetegur R_15))^2)</f>
        <v>0</v>
      </c>
      <c r="H82" s="6">
        <f>SQRT((kaalutegur R_15*[1]!juhe(H5,6)+jaitetegur R_15*[1]!Jaitekoormus_EN(H$5,JaideJ,hj))^2+(tuuletegur R_15*[1]!Tuulekoormus_en(H$5,Qj,hj,zo,H$4,JaideJ,jaitetegur R_15))^2)</f>
        <v>0</v>
      </c>
      <c r="I82" s="6">
        <f>SQRT((kaalutegur R_15*[1]!juhe(I5,6)+jaitetegur R_15*[1]!Jaitekoormus_EN(I$5,JaideJ,hj))^2+(tuuletegur R_15*[1]!Tuulekoormus_en(I$5,Qj,hj,zo,I$4,JaideJ,jaitetegur R_15))^2)</f>
        <v>0</v>
      </c>
      <c r="J82" s="6">
        <f>SQRT((kaalutegur R_15*[1]!juhe(J5,6)+jaitetegur R_15*[1]!Jaitekoormus_EN(J$5,JaideJ,hj))^2+(tuuletegur R_15*[1]!Tuulekoormus_en(J$5,Qj,hj,zo,J$4,JaideJ,jaitetegur R_15))^2)</f>
        <v>0</v>
      </c>
      <c r="K82" s="6">
        <f>SQRT((kaalutegur R_15*[1]!juhe(K5,6)+jaitetegur R_15*[1]!Jaitekoormus_EN(K$5,JaideJ,hj))^2+(tuuletegur R_15*[1]!Tuulekoormus_en(K$5,Qj,hj,zo,K$4,JaideJ,jaitetegur R_15))^2)</f>
        <v>0</v>
      </c>
      <c r="L82" s="6">
        <f>SQRT((kaalutegur R_15*[1]!juhe(L5,6)+jaitetegur R_15*[1]!Jaitekoormus_EN(L$5,JaideJ,hj))^2+(tuuletegur R_15*[1]!Tuulekoormus_en(L$5,Qj,hj,zo,L$4,JaideJ,jaitetegur R_15))^2)</f>
        <v>0</v>
      </c>
      <c r="M82" s="6">
        <f>SQRT((kaalutegur R_15*[1]!juhe(M5,6)+jaitetegur R_15*[1]!Jaitekoormus_EN(M$5,JaideJ,hj))^2+(tuuletegur R_15*[1]!Tuulekoormus_en(M$5,Qj,hj,zo,M$4,JaideJ,jaitetegur R_15))^2)</f>
        <v>0</v>
      </c>
      <c r="N82" s="6">
        <f>SQRT((kaalutegur R_15*[1]!juhe(N5,6)+jaitetegur R_15*[1]!Jaitekoormus_EN(N$5,JaideJ,hj))^2+(tuuletegur R_15*[1]!Tuulekoormus_en(N$5,Qj,hj,zo,N$4,JaideJ,jaitetegur R_15))^2)</f>
        <v>0</v>
      </c>
      <c r="O82" s="6">
        <f>SQRT((kaalutegur R_15*[1]!juhe(O5,6)+jaitetegur R_15*[1]!Jaitekoormus_EN(O$5,JaideJ,hj))^2+(tuuletegur R_15*[1]!Tuulekoormus_en(O$5,Qj,hj,zo,O$4,JaideJ,jaitetegur R_15))^2)</f>
        <v>0</v>
      </c>
      <c r="P82" s="6">
        <f>SQRT((kaalutegur R_15*[1]!juhe(P5,6)+jaitetegur R_15*[1]!Jaitekoormus_EN(P$5,JaideJ,hj))^2+(tuuletegur R_15*[1]!Tuulekoormus_en(P$5,Qj,hj,zo,P$4,JaideJ,jaitetegur R_15))^2)</f>
        <v>0</v>
      </c>
      <c r="Q82" s="6">
        <f>SQRT((kaalutegur R_15*[1]!juhe(Q5,6)+jaitetegur R_15*[1]!Jaitekoormus_EN(Q$5,JaideJ,hj))^2+(tuuletegur R_15*[1]!Tuulekoormus_en(Q$5,Qj,hj,zo,Q$4,JaideJ,jaitetegur R_15))^2)</f>
        <v>0</v>
      </c>
      <c r="R82" s="6">
        <f>SQRT((kaalutegur R_15*[1]!juhe(R5,6)+jaitetegur R_15*[1]!Jaitekoormus_EN(R$5,JaideJ,hj))^2+(tuuletegur R_15*[1]!Tuulekoormus_en(R$5,Qj,hj,zo,R$4,JaideJ,jaitetegur R_15))^2)</f>
        <v>0</v>
      </c>
    </row>
    <row r="83" spans="1:18" x14ac:dyDescent="0.2">
      <c r="A83" s="172"/>
      <c r="B83" s="173"/>
      <c r="C83" s="76" t="s">
        <v>104</v>
      </c>
      <c r="D83" s="3">
        <f>[1]!Olekuvorrand(D$4,D$5,D$6,5,D$9,Lähteandmed!$C66,D82)</f>
        <v>0</v>
      </c>
      <c r="E83" s="3">
        <f>[1]!Olekuvorrand(E$4,E$5,E$6,5,E$9,Lähteandmed!$C66,E82)</f>
        <v>0</v>
      </c>
      <c r="F83" s="3">
        <f>[1]!Olekuvorrand(F$4,F$5,F$6,5,F$9,Lähteandmed!$C66,F82)</f>
        <v>0</v>
      </c>
      <c r="G83" s="3">
        <f>[1]!Olekuvorrand(G$4,G$5,G$6,5,G$9,Lähteandmed!$C66,G82)</f>
        <v>0</v>
      </c>
      <c r="H83" s="3">
        <f>[1]!Olekuvorrand(H$4,H$5,H$6,5,H$9,Lähteandmed!$C66,H82)</f>
        <v>0</v>
      </c>
      <c r="I83" s="3">
        <f>[1]!Olekuvorrand(I$4,I$5,I$6,5,I$9,Lähteandmed!$C66,I82)</f>
        <v>0</v>
      </c>
      <c r="J83" s="3">
        <f>[1]!Olekuvorrand(J$4,J$5,J$6,5,J$9,Lähteandmed!$C66,J82)</f>
        <v>0</v>
      </c>
      <c r="K83" s="3">
        <f>[1]!Olekuvorrand(K$4,K$5,K$6,5,K$9,Lähteandmed!$C66,K82)</f>
        <v>0</v>
      </c>
      <c r="L83" s="3">
        <f>[1]!Olekuvorrand(L$4,L$5,L$6,5,L$9,Lähteandmed!$C66,L82)</f>
        <v>0</v>
      </c>
      <c r="M83" s="3">
        <f>[1]!Olekuvorrand(M$4,M$5,M$6,5,M$9,Lähteandmed!$C66,M82)</f>
        <v>0</v>
      </c>
      <c r="N83" s="3">
        <f>[1]!Olekuvorrand(N$4,N$5,N$6,5,N$9,Lähteandmed!$C66,N82)</f>
        <v>0</v>
      </c>
      <c r="O83" s="3">
        <f>[1]!Olekuvorrand(O$4,O$5,O$6,5,O$9,Lähteandmed!$C66,O82)</f>
        <v>0</v>
      </c>
      <c r="P83" s="3">
        <f>[1]!Olekuvorrand(P$4,P$5,P$6,5,P$9,Lähteandmed!$C66,P82)</f>
        <v>0</v>
      </c>
      <c r="Q83" s="3">
        <f>[1]!Olekuvorrand(Q$4,Q$5,Q$6,5,Q$9,Lähteandmed!$C66,Q82)</f>
        <v>0</v>
      </c>
      <c r="R83" s="3">
        <f>[1]!Olekuvorrand(R$4,R$5,R$6,5,R$9,Lähteandmed!$C66,R82)</f>
        <v>0</v>
      </c>
    </row>
    <row r="84" spans="1:18" x14ac:dyDescent="0.2">
      <c r="A84" s="172"/>
      <c r="B84" s="173"/>
      <c r="C84" s="76" t="s">
        <v>105</v>
      </c>
      <c r="D84" s="3">
        <f>[1]!ripe(D83,D$9+Lähteandmed!$E66*D$11,D$4,0)</f>
        <v>0</v>
      </c>
      <c r="E84" s="3">
        <f>[1]!ripe(E83,E$9+Lähteandmed!$E66*D$11,E$4,0)</f>
        <v>0</v>
      </c>
      <c r="F84" s="3">
        <f>[1]!ripe(F83,F$9+Lähteandmed!$E66*D$11,F$4,0)</f>
        <v>0</v>
      </c>
      <c r="G84" s="3">
        <f>[1]!ripe(G83,G$9+Lähteandmed!$E66*D$11,G$4,0)</f>
        <v>0</v>
      </c>
      <c r="H84" s="3">
        <f>[1]!ripe(H83,H$9+Lähteandmed!$E66*D$11,H$4,0)</f>
        <v>0</v>
      </c>
      <c r="I84" s="3">
        <f>[1]!ripe(I83,I$9+Lähteandmed!$E66*D$11,I$4,0)</f>
        <v>0</v>
      </c>
      <c r="J84" s="3">
        <f>[1]!ripe(J83,J$9+Lähteandmed!$E66*D$11,J$4,0)</f>
        <v>0</v>
      </c>
      <c r="K84" s="3">
        <f>[1]!ripe(K83,K$9+Lähteandmed!$E66*D$11,K$4,0)</f>
        <v>0</v>
      </c>
      <c r="L84" s="3">
        <f>[1]!ripe(L83,L$9+Lähteandmed!$E66*D$11,L$4,0)</f>
        <v>0</v>
      </c>
      <c r="M84" s="3">
        <f>[1]!ripe(M83,M$9+Lähteandmed!$E66*D$11,M$4,0)</f>
        <v>0</v>
      </c>
      <c r="N84" s="3">
        <f>[1]!ripe(N83,N$9+Lähteandmed!$E66*D$11,N$4,0)</f>
        <v>0</v>
      </c>
      <c r="O84" s="3">
        <f>[1]!ripe(O83,O$9+Lähteandmed!$E66*D$11,O$4,0)</f>
        <v>0</v>
      </c>
      <c r="P84" s="3">
        <f>[1]!ripe(P83,P$9+Lähteandmed!$E66*D$11,P$4,0)</f>
        <v>0</v>
      </c>
      <c r="Q84" s="3">
        <f>[1]!ripe(Q83,Q$9+Lähteandmed!$E66*D$11,Q$4,0)</f>
        <v>0</v>
      </c>
      <c r="R84" s="3">
        <f>[1]!ripe(R83,R$9+Lähteandmed!$E66*D$11,R$4,0)</f>
        <v>0</v>
      </c>
    </row>
    <row r="85" spans="1:18" x14ac:dyDescent="0.2">
      <c r="A85" s="42"/>
      <c r="B85" s="173"/>
      <c r="C85" s="76" t="s">
        <v>49</v>
      </c>
      <c r="D85" s="50">
        <f t="shared" ref="D85:K85" si="63">D84/D$4^2*1000000</f>
        <v>0</v>
      </c>
      <c r="E85" s="50">
        <f t="shared" si="63"/>
        <v>0</v>
      </c>
      <c r="F85" s="50">
        <f t="shared" si="63"/>
        <v>0</v>
      </c>
      <c r="G85" s="50">
        <f t="shared" si="63"/>
        <v>0</v>
      </c>
      <c r="H85" s="50">
        <f t="shared" si="63"/>
        <v>0</v>
      </c>
      <c r="I85" s="50">
        <f t="shared" si="63"/>
        <v>0</v>
      </c>
      <c r="J85" s="50">
        <f t="shared" si="63"/>
        <v>0</v>
      </c>
      <c r="K85" s="50">
        <f t="shared" si="63"/>
        <v>0</v>
      </c>
      <c r="L85" s="50">
        <f t="shared" ref="L85:Q85" si="64">L84/L$4^2*1000000</f>
        <v>0</v>
      </c>
      <c r="M85" s="50">
        <f t="shared" si="64"/>
        <v>0</v>
      </c>
      <c r="N85" s="50">
        <f t="shared" si="64"/>
        <v>0</v>
      </c>
      <c r="O85" s="50">
        <f t="shared" si="64"/>
        <v>0</v>
      </c>
      <c r="P85" s="50">
        <f t="shared" si="64"/>
        <v>0</v>
      </c>
      <c r="Q85" s="50">
        <f t="shared" si="64"/>
        <v>0</v>
      </c>
      <c r="R85" s="50">
        <f t="shared" ref="R85" si="65">R84/R$4^2*1000000</f>
        <v>0</v>
      </c>
    </row>
    <row r="86" spans="1:18" ht="38.25" x14ac:dyDescent="0.2">
      <c r="A86" s="159">
        <v>16</v>
      </c>
      <c r="B86" s="174">
        <f>Lähteandmed!B69</f>
        <v>0</v>
      </c>
      <c r="C86" s="77" t="s">
        <v>222</v>
      </c>
      <c r="D86" s="9">
        <f>SQRT((kaalutegur R_16*[1]!juhe(D5,6)+jaitetegur R_16*[1]!Jaitekoormus_EN(D$5,JaideJ,hj))^2+(tuuletegur R_16*[1]!Tuulekoormus_en(D$5,Qj,hj,zo,D$4,JaideJ,jaitetegur R_16))^2)</f>
        <v>0</v>
      </c>
      <c r="E86" s="9">
        <f>SQRT((kaalutegur R_16*[1]!juhe(E5,6)+jaitetegur R_16*[1]!Jaitekoormus_EN(E$5,JaideJ,hj))^2+(tuuletegur R_16*[1]!Tuulekoormus_en(E$5,Qj,hj,zo,E$4,JaideJ,jaitetegur R_16))^2)</f>
        <v>0</v>
      </c>
      <c r="F86" s="9">
        <f>SQRT((kaalutegur R_16*[1]!juhe(F5,6)+jaitetegur R_16*[1]!Jaitekoormus_EN(F$5,JaideJ,hj))^2+(tuuletegur R_16*[1]!Tuulekoormus_en(F$5,Qj,hj,zo,F$4,JaideJ,jaitetegur R_16))^2)</f>
        <v>0</v>
      </c>
      <c r="G86" s="9">
        <f>SQRT((kaalutegur R_16*[1]!juhe(G5,6)+jaitetegur R_16*[1]!Jaitekoormus_EN(G$5,JaideJ,hj))^2+(tuuletegur R_16*[1]!Tuulekoormus_en(G$5,Qj,hj,zo,G$4,JaideJ,jaitetegur R_16))^2)</f>
        <v>0</v>
      </c>
      <c r="H86" s="9">
        <f>SQRT((kaalutegur R_16*[1]!juhe(H5,6)+jaitetegur R_16*[1]!Jaitekoormus_EN(H$5,JaideJ,hj))^2+(tuuletegur R_16*[1]!Tuulekoormus_en(H$5,Qj,hj,zo,H$4,JaideJ,jaitetegur R_16))^2)</f>
        <v>0</v>
      </c>
      <c r="I86" s="9">
        <f>SQRT((kaalutegur R_16*[1]!juhe(I5,6)+jaitetegur R_16*[1]!Jaitekoormus_EN(I$5,JaideJ,hj))^2+(tuuletegur R_16*[1]!Tuulekoormus_en(I$5,Qj,hj,zo,I$4,JaideJ,jaitetegur R_16))^2)</f>
        <v>0</v>
      </c>
      <c r="J86" s="9">
        <f>SQRT((kaalutegur R_16*[1]!juhe(J5,6)+jaitetegur R_16*[1]!Jaitekoormus_EN(J$5,JaideJ,hj))^2+(tuuletegur R_16*[1]!Tuulekoormus_en(J$5,Qj,hj,zo,J$4,JaideJ,jaitetegur R_16))^2)</f>
        <v>0</v>
      </c>
      <c r="K86" s="9">
        <f>SQRT((kaalutegur R_16*[1]!juhe(K5,6)+jaitetegur R_16*[1]!Jaitekoormus_EN(K$5,JaideJ,hj))^2+(tuuletegur R_16*[1]!Tuulekoormus_en(K$5,Qj,hj,zo,K$4,JaideJ,jaitetegur R_16))^2)</f>
        <v>0</v>
      </c>
      <c r="L86" s="9">
        <f>SQRT((kaalutegur R_16*[1]!juhe(L5,6)+jaitetegur R_16*[1]!Jaitekoormus_EN(L$5,JaideJ,hj))^2+(tuuletegur R_16*[1]!Tuulekoormus_en(L$5,Qj,hj,zo,L$4,JaideJ,jaitetegur R_16))^2)</f>
        <v>0</v>
      </c>
      <c r="M86" s="9">
        <f>SQRT((kaalutegur R_16*[1]!juhe(M5,6)+jaitetegur R_16*[1]!Jaitekoormus_EN(M$5,JaideJ,hj))^2+(tuuletegur R_16*[1]!Tuulekoormus_en(M$5,Qj,hj,zo,M$4,JaideJ,jaitetegur R_16))^2)</f>
        <v>0</v>
      </c>
      <c r="N86" s="9">
        <f>SQRT((kaalutegur R_16*[1]!juhe(N5,6)+jaitetegur R_16*[1]!Jaitekoormus_EN(N$5,JaideJ,hj))^2+(tuuletegur R_16*[1]!Tuulekoormus_en(N$5,Qj,hj,zo,N$4,JaideJ,jaitetegur R_16))^2)</f>
        <v>0</v>
      </c>
      <c r="O86" s="9">
        <f>SQRT((kaalutegur R_16*[1]!juhe(O5,6)+jaitetegur R_16*[1]!Jaitekoormus_EN(O$5,JaideJ,hj))^2+(tuuletegur R_16*[1]!Tuulekoormus_en(O$5,Qj,hj,zo,O$4,JaideJ,jaitetegur R_16))^2)</f>
        <v>0</v>
      </c>
      <c r="P86" s="9">
        <f>SQRT((kaalutegur R_16*[1]!juhe(P5,6)+jaitetegur R_16*[1]!Jaitekoormus_EN(P$5,JaideJ,hj))^2+(tuuletegur R_16*[1]!Tuulekoormus_en(P$5,Qj,hj,zo,P$4,JaideJ,jaitetegur R_16))^2)</f>
        <v>0</v>
      </c>
      <c r="Q86" s="9">
        <f>SQRT((kaalutegur R_16*[1]!juhe(Q5,6)+jaitetegur R_16*[1]!Jaitekoormus_EN(Q$5,JaideJ,hj))^2+(tuuletegur R_16*[1]!Tuulekoormus_en(Q$5,Qj,hj,zo,Q$4,JaideJ,jaitetegur R_16))^2)</f>
        <v>0</v>
      </c>
      <c r="R86" s="9">
        <f>SQRT((kaalutegur R_16*[1]!juhe(R5,6)+jaitetegur R_16*[1]!Jaitekoormus_EN(R$5,JaideJ,hj))^2+(tuuletegur R_16*[1]!Tuulekoormus_en(R$5,Qj,hj,zo,R$4,JaideJ,jaitetegur R_16))^2)</f>
        <v>0</v>
      </c>
    </row>
    <row r="87" spans="1:18" x14ac:dyDescent="0.2">
      <c r="A87" s="159"/>
      <c r="B87" s="174"/>
      <c r="C87" s="77" t="s">
        <v>104</v>
      </c>
      <c r="D87" s="22">
        <f>[1]!Olekuvorrand(D$4,D$5,D$6,5,D$9,Lähteandmed!$C69,D86)</f>
        <v>0</v>
      </c>
      <c r="E87" s="22">
        <f>[1]!Olekuvorrand(E$4,E$5,E$6,5,E$9,Lähteandmed!$C69,E86)</f>
        <v>0</v>
      </c>
      <c r="F87" s="22">
        <f>[1]!Olekuvorrand(F$4,F$5,F$6,5,F$9,Lähteandmed!$C69,F86)</f>
        <v>0</v>
      </c>
      <c r="G87" s="22">
        <f>[1]!Olekuvorrand(G$4,G$5,G$6,5,G$9,Lähteandmed!$C69,G86)</f>
        <v>0</v>
      </c>
      <c r="H87" s="22">
        <f>[1]!Olekuvorrand(H$4,H$5,H$6,5,H$9,Lähteandmed!$C69,H86)</f>
        <v>0</v>
      </c>
      <c r="I87" s="22">
        <f>[1]!Olekuvorrand(I$4,I$5,I$6,5,I$9,Lähteandmed!$C69,I86)</f>
        <v>0</v>
      </c>
      <c r="J87" s="22">
        <f>[1]!Olekuvorrand(J$4,J$5,J$6,5,J$9,Lähteandmed!$C69,J86)</f>
        <v>0</v>
      </c>
      <c r="K87" s="22">
        <f>[1]!Olekuvorrand(K$4,K$5,K$6,5,K$9,Lähteandmed!$C69,K86)</f>
        <v>0</v>
      </c>
      <c r="L87" s="22">
        <f>[1]!Olekuvorrand(L$4,L$5,L$6,5,L$9,Lähteandmed!$C69,L86)</f>
        <v>0</v>
      </c>
      <c r="M87" s="22">
        <f>[1]!Olekuvorrand(M$4,M$5,M$6,5,M$9,Lähteandmed!$C69,M86)</f>
        <v>0</v>
      </c>
      <c r="N87" s="22">
        <f>[1]!Olekuvorrand(N$4,N$5,N$6,5,N$9,Lähteandmed!$C69,N86)</f>
        <v>0</v>
      </c>
      <c r="O87" s="22">
        <f>[1]!Olekuvorrand(O$4,O$5,O$6,5,O$9,Lähteandmed!$C69,O86)</f>
        <v>0</v>
      </c>
      <c r="P87" s="22">
        <f>[1]!Olekuvorrand(P$4,P$5,P$6,5,P$9,Lähteandmed!$C69,P86)</f>
        <v>0</v>
      </c>
      <c r="Q87" s="22">
        <f>[1]!Olekuvorrand(Q$4,Q$5,Q$6,5,Q$9,Lähteandmed!$C69,Q86)</f>
        <v>0</v>
      </c>
      <c r="R87" s="22">
        <f>[1]!Olekuvorrand(R$4,R$5,R$6,5,R$9,Lähteandmed!$C69,R86)</f>
        <v>0</v>
      </c>
    </row>
    <row r="88" spans="1:18" x14ac:dyDescent="0.2">
      <c r="A88" s="159"/>
      <c r="B88" s="174"/>
      <c r="C88" s="77" t="s">
        <v>105</v>
      </c>
      <c r="D88" s="9">
        <f>[1]!ripe(D87,D$9+Lähteandmed!$E69*D$11,D$4,0)</f>
        <v>0</v>
      </c>
      <c r="E88" s="9">
        <f>[1]!ripe(E87,E$9+Lähteandmed!$E69*D$11,E$4,0)</f>
        <v>0</v>
      </c>
      <c r="F88" s="9">
        <f>[1]!ripe(F87,F$9+Lähteandmed!$E69*D$11,F$4,0)</f>
        <v>0</v>
      </c>
      <c r="G88" s="9">
        <f>[1]!ripe(G87,G$9+Lähteandmed!$E69*D$11,G$4,0)</f>
        <v>0</v>
      </c>
      <c r="H88" s="9">
        <f>[1]!ripe(H87,H$9+Lähteandmed!$E69*D$11,H$4,0)</f>
        <v>0</v>
      </c>
      <c r="I88" s="9">
        <f>[1]!ripe(I87,I$9+Lähteandmed!$E69*D$11,I$4,0)</f>
        <v>0</v>
      </c>
      <c r="J88" s="9">
        <f>[1]!ripe(J87,J$9+Lähteandmed!$E69*D$11,J$4,0)</f>
        <v>0</v>
      </c>
      <c r="K88" s="9">
        <f>[1]!ripe(K87,K$9+Lähteandmed!$E69*D$11,K$4,0)</f>
        <v>0</v>
      </c>
      <c r="L88" s="9">
        <f>[1]!ripe(L87,L$9+Lähteandmed!$E69*D$11,L$4,0)</f>
        <v>0</v>
      </c>
      <c r="M88" s="9">
        <f>[1]!ripe(M87,M$9+Lähteandmed!$E69*D$11,M$4,0)</f>
        <v>0</v>
      </c>
      <c r="N88" s="9">
        <f>[1]!ripe(N87,N$9+Lähteandmed!$E69*D$11,N$4,0)</f>
        <v>0</v>
      </c>
      <c r="O88" s="9">
        <f>[1]!ripe(O87,O$9+Lähteandmed!$E69*D$11,O$4,0)</f>
        <v>0</v>
      </c>
      <c r="P88" s="9">
        <f>[1]!ripe(P87,P$9+Lähteandmed!$E69*D$11,P$4,0)</f>
        <v>0</v>
      </c>
      <c r="Q88" s="9">
        <f>[1]!ripe(Q87,Q$9+Lähteandmed!$E69*D$11,Q$4,0)</f>
        <v>0</v>
      </c>
      <c r="R88" s="9">
        <f>[1]!ripe(R87,R$9+Lähteandmed!$E69*D$11,R$4,0)</f>
        <v>0</v>
      </c>
    </row>
    <row r="89" spans="1:18" x14ac:dyDescent="0.2">
      <c r="A89" s="39"/>
      <c r="B89" s="174"/>
      <c r="C89" s="77" t="s">
        <v>49</v>
      </c>
      <c r="D89" s="51">
        <f t="shared" ref="D89:K89" si="66">D88/D$4^2*1000000</f>
        <v>0</v>
      </c>
      <c r="E89" s="51">
        <f t="shared" si="66"/>
        <v>0</v>
      </c>
      <c r="F89" s="51">
        <f t="shared" si="66"/>
        <v>0</v>
      </c>
      <c r="G89" s="51">
        <f t="shared" si="66"/>
        <v>0</v>
      </c>
      <c r="H89" s="51">
        <f t="shared" si="66"/>
        <v>0</v>
      </c>
      <c r="I89" s="51">
        <f t="shared" si="66"/>
        <v>0</v>
      </c>
      <c r="J89" s="51">
        <f t="shared" si="66"/>
        <v>0</v>
      </c>
      <c r="K89" s="51">
        <f t="shared" si="66"/>
        <v>0</v>
      </c>
      <c r="L89" s="51">
        <f t="shared" ref="L89:Q89" si="67">L88/L$4^2*1000000</f>
        <v>0</v>
      </c>
      <c r="M89" s="51">
        <f t="shared" si="67"/>
        <v>0</v>
      </c>
      <c r="N89" s="51">
        <f t="shared" si="67"/>
        <v>0</v>
      </c>
      <c r="O89" s="51">
        <f t="shared" si="67"/>
        <v>0</v>
      </c>
      <c r="P89" s="51">
        <f t="shared" si="67"/>
        <v>0</v>
      </c>
      <c r="Q89" s="51">
        <f t="shared" si="67"/>
        <v>0</v>
      </c>
      <c r="R89" s="51">
        <f t="shared" ref="R89" si="68">R88/R$4^2*1000000</f>
        <v>0</v>
      </c>
    </row>
    <row r="90" spans="1:18" ht="38.25" x14ac:dyDescent="0.2">
      <c r="A90" s="172">
        <v>17</v>
      </c>
      <c r="B90" s="173">
        <f>Lähteandmed!B72</f>
        <v>0</v>
      </c>
      <c r="C90" s="76" t="s">
        <v>222</v>
      </c>
      <c r="D90" s="6">
        <f>SQRT((kaalutegur R_17*[1]!juhe(D5,6)+jaitetegur R_17*[1]!Jaitekoormus_EN(D$5,JaideJ,hj))^2+(tuuletegur R_17*[1]!Tuulekoormus_en(D$5,Qj,hj,zo,D$4,JaideJ,jaitetegur R_17))^2)</f>
        <v>0</v>
      </c>
      <c r="E90" s="6">
        <f>SQRT((kaalutegur R_17*[1]!juhe(E5,6)+jaitetegur R_17*[1]!Jaitekoormus_EN(E$5,JaideJ,hj))^2+(tuuletegur R_17*[1]!Tuulekoormus_en(E$5,Qj,hj,zo,E$4,JaideJ,jaitetegur R_17))^2)</f>
        <v>0</v>
      </c>
      <c r="F90" s="6">
        <f>SQRT((kaalutegur R_17*[1]!juhe(F5,6)+jaitetegur R_17*[1]!Jaitekoormus_EN(F$5,JaideJ,hj))^2+(tuuletegur R_17*[1]!Tuulekoormus_en(F$5,Qj,hj,zo,F$4,JaideJ,jaitetegur R_17))^2)</f>
        <v>0</v>
      </c>
      <c r="G90" s="6">
        <f>SQRT((kaalutegur R_17*[1]!juhe(G5,6)+jaitetegur R_17*[1]!Jaitekoormus_EN(G$5,JaideJ,hj))^2+(tuuletegur R_17*[1]!Tuulekoormus_en(G$5,Qj,hj,zo,G$4,JaideJ,jaitetegur R_17))^2)</f>
        <v>0</v>
      </c>
      <c r="H90" s="6">
        <f>SQRT((kaalutegur R_17*[1]!juhe(H5,6)+jaitetegur R_17*[1]!Jaitekoormus_EN(H$5,JaideJ,hj))^2+(tuuletegur R_17*[1]!Tuulekoormus_en(H$5,Qj,hj,zo,H$4,JaideJ,jaitetegur R_17))^2)</f>
        <v>0</v>
      </c>
      <c r="I90" s="6">
        <f>SQRT((kaalutegur R_17*[1]!juhe(I5,6)+jaitetegur R_17*[1]!Jaitekoormus_EN(I$5,JaideJ,hj))^2+(tuuletegur R_17*[1]!Tuulekoormus_en(I$5,Qj,hj,zo,I$4,JaideJ,jaitetegur R_17))^2)</f>
        <v>0</v>
      </c>
      <c r="J90" s="6">
        <f>SQRT((kaalutegur R_17*[1]!juhe(J5,6)+jaitetegur R_17*[1]!Jaitekoormus_EN(J$5,JaideJ,hj))^2+(tuuletegur R_17*[1]!Tuulekoormus_en(J$5,Qj,hj,zo,J$4,JaideJ,jaitetegur R_17))^2)</f>
        <v>0</v>
      </c>
      <c r="K90" s="6">
        <f>SQRT((kaalutegur R_17*[1]!juhe(K5,6)+jaitetegur R_17*[1]!Jaitekoormus_EN(K$5,JaideJ,hj))^2+(tuuletegur R_17*[1]!Tuulekoormus_en(K$5,Qj,hj,zo,K$4,JaideJ,jaitetegur R_17))^2)</f>
        <v>0</v>
      </c>
      <c r="L90" s="6">
        <f>SQRT((kaalutegur R_17*[1]!juhe(L5,6)+jaitetegur R_17*[1]!Jaitekoormus_EN(L$5,JaideJ,hj))^2+(tuuletegur R_17*[1]!Tuulekoormus_en(L$5,Qj,hj,zo,L$4,JaideJ,jaitetegur R_17))^2)</f>
        <v>0</v>
      </c>
      <c r="M90" s="6">
        <f>SQRT((kaalutegur R_17*[1]!juhe(M5,6)+jaitetegur R_17*[1]!Jaitekoormus_EN(M$5,JaideJ,hj))^2+(tuuletegur R_17*[1]!Tuulekoormus_en(M$5,Qj,hj,zo,M$4,JaideJ,jaitetegur R_17))^2)</f>
        <v>0</v>
      </c>
      <c r="N90" s="6">
        <f>SQRT((kaalutegur R_17*[1]!juhe(N5,6)+jaitetegur R_17*[1]!Jaitekoormus_EN(N$5,JaideJ,hj))^2+(tuuletegur R_17*[1]!Tuulekoormus_en(N$5,Qj,hj,zo,N$4,JaideJ,jaitetegur R_17))^2)</f>
        <v>0</v>
      </c>
      <c r="O90" s="6">
        <f>SQRT((kaalutegur R_17*[1]!juhe(O5,6)+jaitetegur R_17*[1]!Jaitekoormus_EN(O$5,JaideJ,hj))^2+(tuuletegur R_17*[1]!Tuulekoormus_en(O$5,Qj,hj,zo,O$4,JaideJ,jaitetegur R_17))^2)</f>
        <v>0</v>
      </c>
      <c r="P90" s="6">
        <f>SQRT((kaalutegur R_17*[1]!juhe(P5,6)+jaitetegur R_17*[1]!Jaitekoormus_EN(P$5,JaideJ,hj))^2+(tuuletegur R_17*[1]!Tuulekoormus_en(P$5,Qj,hj,zo,P$4,JaideJ,jaitetegur R_17))^2)</f>
        <v>0</v>
      </c>
      <c r="Q90" s="6">
        <f>SQRT((kaalutegur R_17*[1]!juhe(Q5,6)+jaitetegur R_17*[1]!Jaitekoormus_EN(Q$5,JaideJ,hj))^2+(tuuletegur R_17*[1]!Tuulekoormus_en(Q$5,Qj,hj,zo,Q$4,JaideJ,jaitetegur R_17))^2)</f>
        <v>0</v>
      </c>
      <c r="R90" s="6">
        <f>SQRT((kaalutegur R_17*[1]!juhe(R5,6)+jaitetegur R_17*[1]!Jaitekoormus_EN(R$5,JaideJ,hj))^2+(tuuletegur R_17*[1]!Tuulekoormus_en(R$5,Qj,hj,zo,R$4,JaideJ,jaitetegur R_17))^2)</f>
        <v>0</v>
      </c>
    </row>
    <row r="91" spans="1:18" x14ac:dyDescent="0.2">
      <c r="A91" s="172"/>
      <c r="B91" s="173"/>
      <c r="C91" s="76" t="s">
        <v>104</v>
      </c>
      <c r="D91" s="3">
        <f>[1]!Olekuvorrand(D$4,D$5,D$6,5,D$9,Lähteandmed!$C72,D90)</f>
        <v>0</v>
      </c>
      <c r="E91" s="3">
        <f>[1]!Olekuvorrand(E$4,E$5,E$6,5,E$9,Lähteandmed!$C72,E90)</f>
        <v>0</v>
      </c>
      <c r="F91" s="3">
        <f>[1]!Olekuvorrand(F$4,F$5,F$6,5,F$9,Lähteandmed!$C72,F90)</f>
        <v>0</v>
      </c>
      <c r="G91" s="3">
        <f>[1]!Olekuvorrand(G$4,G$5,G$6,5,G$9,Lähteandmed!$C72,G90)</f>
        <v>0</v>
      </c>
      <c r="H91" s="3">
        <f>[1]!Olekuvorrand(H$4,H$5,H$6,5,H$9,Lähteandmed!$C72,H90)</f>
        <v>0</v>
      </c>
      <c r="I91" s="3">
        <f>[1]!Olekuvorrand(I$4,I$5,I$6,5,I$9,Lähteandmed!$C72,I90)</f>
        <v>0</v>
      </c>
      <c r="J91" s="3">
        <f>[1]!Olekuvorrand(J$4,J$5,J$6,5,J$9,Lähteandmed!$C72,J90)</f>
        <v>0</v>
      </c>
      <c r="K91" s="3">
        <f>[1]!Olekuvorrand(K$4,K$5,K$6,5,K$9,Lähteandmed!$C72,K90)</f>
        <v>0</v>
      </c>
      <c r="L91" s="3">
        <f>[1]!Olekuvorrand(L$4,L$5,L$6,5,L$9,Lähteandmed!$C72,L90)</f>
        <v>0</v>
      </c>
      <c r="M91" s="3">
        <f>[1]!Olekuvorrand(M$4,M$5,M$6,5,M$9,Lähteandmed!$C72,M90)</f>
        <v>0</v>
      </c>
      <c r="N91" s="3">
        <f>[1]!Olekuvorrand(N$4,N$5,N$6,5,N$9,Lähteandmed!$C72,N90)</f>
        <v>0</v>
      </c>
      <c r="O91" s="3">
        <f>[1]!Olekuvorrand(O$4,O$5,O$6,5,O$9,Lähteandmed!$C72,O90)</f>
        <v>0</v>
      </c>
      <c r="P91" s="3">
        <f>[1]!Olekuvorrand(P$4,P$5,P$6,5,P$9,Lähteandmed!$C72,P90)</f>
        <v>0</v>
      </c>
      <c r="Q91" s="3">
        <f>[1]!Olekuvorrand(Q$4,Q$5,Q$6,5,Q$9,Lähteandmed!$C72,Q90)</f>
        <v>0</v>
      </c>
      <c r="R91" s="3">
        <f>[1]!Olekuvorrand(R$4,R$5,R$6,5,R$9,Lähteandmed!$C72,R90)</f>
        <v>0</v>
      </c>
    </row>
    <row r="92" spans="1:18" x14ac:dyDescent="0.2">
      <c r="A92" s="172"/>
      <c r="B92" s="173"/>
      <c r="C92" s="76" t="s">
        <v>105</v>
      </c>
      <c r="D92" s="3">
        <f>[1]!ripe(D91,D$9+Lähteandmed!$E72*D$11,D$4,0)</f>
        <v>0</v>
      </c>
      <c r="E92" s="3">
        <f>[1]!ripe(E91,E$9+Lähteandmed!$E72*D$11,E$4,0)</f>
        <v>0</v>
      </c>
      <c r="F92" s="3">
        <f>[1]!ripe(F91,F$9+Lähteandmed!$E72*D$11,F$4,0)</f>
        <v>0</v>
      </c>
      <c r="G92" s="3">
        <f>[1]!ripe(G91,G$9+Lähteandmed!$E72*D$11,G$4,0)</f>
        <v>0</v>
      </c>
      <c r="H92" s="3">
        <f>[1]!ripe(H91,H$9+Lähteandmed!$E72*D$11,H$4,0)</f>
        <v>0</v>
      </c>
      <c r="I92" s="3">
        <f>[1]!ripe(I91,I$9+Lähteandmed!$E72*D$11,I$4,0)</f>
        <v>0</v>
      </c>
      <c r="J92" s="3">
        <f>[1]!ripe(J91,J$9+Lähteandmed!$E72*D$11,J$4,0)</f>
        <v>0</v>
      </c>
      <c r="K92" s="3">
        <f>[1]!ripe(K91,K$9+Lähteandmed!$E72*D$11,K$4,0)</f>
        <v>0</v>
      </c>
      <c r="L92" s="3">
        <f>[1]!ripe(L91,L$9+Lähteandmed!$E72*D$11,L$4,0)</f>
        <v>0</v>
      </c>
      <c r="M92" s="3">
        <f>[1]!ripe(M91,M$9+Lähteandmed!$E72*D$11,M$4,0)</f>
        <v>0</v>
      </c>
      <c r="N92" s="3">
        <f>[1]!ripe(N91,N$9+Lähteandmed!$E72*D$11,N$4,0)</f>
        <v>0</v>
      </c>
      <c r="O92" s="3">
        <f>[1]!ripe(O91,O$9+Lähteandmed!$E72*D$11,O$4,0)</f>
        <v>0</v>
      </c>
      <c r="P92" s="3">
        <f>[1]!ripe(P91,P$9+Lähteandmed!$E72*D$11,P$4,0)</f>
        <v>0</v>
      </c>
      <c r="Q92" s="3">
        <f>[1]!ripe(Q91,Q$9+Lähteandmed!$E72*D$11,Q$4,0)</f>
        <v>0</v>
      </c>
      <c r="R92" s="3">
        <f>[1]!ripe(R91,R$9+Lähteandmed!$E72*D$11,R$4,0)</f>
        <v>0</v>
      </c>
    </row>
    <row r="93" spans="1:18" x14ac:dyDescent="0.2">
      <c r="A93" s="42"/>
      <c r="B93" s="173"/>
      <c r="C93" s="76" t="s">
        <v>49</v>
      </c>
      <c r="D93" s="50">
        <f t="shared" ref="D93:K93" si="69">D92/D$4^2*1000000</f>
        <v>0</v>
      </c>
      <c r="E93" s="50">
        <f t="shared" si="69"/>
        <v>0</v>
      </c>
      <c r="F93" s="50">
        <f t="shared" si="69"/>
        <v>0</v>
      </c>
      <c r="G93" s="50">
        <f t="shared" si="69"/>
        <v>0</v>
      </c>
      <c r="H93" s="50">
        <f t="shared" si="69"/>
        <v>0</v>
      </c>
      <c r="I93" s="50">
        <f t="shared" si="69"/>
        <v>0</v>
      </c>
      <c r="J93" s="50">
        <f t="shared" si="69"/>
        <v>0</v>
      </c>
      <c r="K93" s="50">
        <f t="shared" si="69"/>
        <v>0</v>
      </c>
      <c r="L93" s="50">
        <f t="shared" ref="L93:Q93" si="70">L92/L$4^2*1000000</f>
        <v>0</v>
      </c>
      <c r="M93" s="50">
        <f t="shared" si="70"/>
        <v>0</v>
      </c>
      <c r="N93" s="50">
        <f t="shared" si="70"/>
        <v>0</v>
      </c>
      <c r="O93" s="50">
        <f t="shared" si="70"/>
        <v>0</v>
      </c>
      <c r="P93" s="50">
        <f t="shared" si="70"/>
        <v>0</v>
      </c>
      <c r="Q93" s="50">
        <f t="shared" si="70"/>
        <v>0</v>
      </c>
      <c r="R93" s="50">
        <f t="shared" ref="R93" si="71">R92/R$4^2*1000000</f>
        <v>0</v>
      </c>
    </row>
    <row r="94" spans="1:18" ht="38.25" x14ac:dyDescent="0.2">
      <c r="A94" s="159">
        <v>18</v>
      </c>
      <c r="B94" s="174">
        <f>Lähteandmed!B75</f>
        <v>0</v>
      </c>
      <c r="C94" s="77" t="s">
        <v>222</v>
      </c>
      <c r="D94" s="9">
        <f>SQRT((kaalutegur R_18*[1]!juhe(D5,6)+jaitetegur R_18*[1]!Jaitekoormus_EN(D$5,JaideJ,hj))^2+(tuuletegur R_18*[1]!Tuulekoormus_en(D$5,Qj,hj,zo,D$4,JaideJ,jaitetegur R_18))^2)</f>
        <v>0</v>
      </c>
      <c r="E94" s="9">
        <f>SQRT((kaalutegur R_18*[1]!juhe(E5,6)+jaitetegur R_18*[1]!Jaitekoormus_EN(E$5,JaideJ,hj))^2+(tuuletegur R_18*[1]!Tuulekoormus_en(E$5,Qj,hj,zo,E$4,JaideJ,jaitetegur R_18))^2)</f>
        <v>0</v>
      </c>
      <c r="F94" s="9">
        <f>SQRT((kaalutegur R_18*[1]!juhe(F5,6)+jaitetegur R_18*[1]!Jaitekoormus_EN(F$5,JaideJ,hj))^2+(tuuletegur R_18*[1]!Tuulekoormus_en(F$5,Qj,hj,zo,F$4,JaideJ,jaitetegur R_18))^2)</f>
        <v>0</v>
      </c>
      <c r="G94" s="9">
        <f>SQRT((kaalutegur R_18*[1]!juhe(G5,6)+jaitetegur R_18*[1]!Jaitekoormus_EN(G$5,JaideJ,hj))^2+(tuuletegur R_18*[1]!Tuulekoormus_en(G$5,Qj,hj,zo,G$4,JaideJ,jaitetegur R_18))^2)</f>
        <v>0</v>
      </c>
      <c r="H94" s="9">
        <f>SQRT((kaalutegur R_18*[1]!juhe(H5,6)+jaitetegur R_18*[1]!Jaitekoormus_EN(H$5,JaideJ,hj))^2+(tuuletegur R_18*[1]!Tuulekoormus_en(H$5,Qj,hj,zo,H$4,JaideJ,jaitetegur R_18))^2)</f>
        <v>0</v>
      </c>
      <c r="I94" s="9">
        <f>SQRT((kaalutegur R_18*[1]!juhe(I5,6)+jaitetegur R_18*[1]!Jaitekoormus_EN(I$5,JaideJ,hj))^2+(tuuletegur R_18*[1]!Tuulekoormus_en(I$5,Qj,hj,zo,I$4,JaideJ,jaitetegur R_18))^2)</f>
        <v>0</v>
      </c>
      <c r="J94" s="9">
        <f>SQRT((kaalutegur R_18*[1]!juhe(J5,6)+jaitetegur R_18*[1]!Jaitekoormus_EN(J$5,JaideJ,hj))^2+(tuuletegur R_18*[1]!Tuulekoormus_en(J$5,Qj,hj,zo,J$4,JaideJ,jaitetegur R_18))^2)</f>
        <v>0</v>
      </c>
      <c r="K94" s="9">
        <f>SQRT((kaalutegur R_18*[1]!juhe(K5,6)+jaitetegur R_18*[1]!Jaitekoormus_EN(K$5,JaideJ,hj))^2+(tuuletegur R_18*[1]!Tuulekoormus_en(K$5,Qj,hj,zo,K$4,JaideJ,jaitetegur R_18))^2)</f>
        <v>0</v>
      </c>
      <c r="L94" s="9">
        <f>SQRT((kaalutegur R_18*[1]!juhe(L5,6)+jaitetegur R_18*[1]!Jaitekoormus_EN(L$5,JaideJ,hj))^2+(tuuletegur R_18*[1]!Tuulekoormus_en(L$5,Qj,hj,zo,L$4,JaideJ,jaitetegur R_18))^2)</f>
        <v>0</v>
      </c>
      <c r="M94" s="9">
        <f>SQRT((kaalutegur R_18*[1]!juhe(M5,6)+jaitetegur R_18*[1]!Jaitekoormus_EN(M$5,JaideJ,hj))^2+(tuuletegur R_18*[1]!Tuulekoormus_en(M$5,Qj,hj,zo,M$4,JaideJ,jaitetegur R_18))^2)</f>
        <v>0</v>
      </c>
      <c r="N94" s="9">
        <f>SQRT((kaalutegur R_18*[1]!juhe(N5,6)+jaitetegur R_18*[1]!Jaitekoormus_EN(N$5,JaideJ,hj))^2+(tuuletegur R_18*[1]!Tuulekoormus_en(N$5,Qj,hj,zo,N$4,JaideJ,jaitetegur R_18))^2)</f>
        <v>0</v>
      </c>
      <c r="O94" s="9">
        <f>SQRT((kaalutegur R_18*[1]!juhe(O5,6)+jaitetegur R_18*[1]!Jaitekoormus_EN(O$5,JaideJ,hj))^2+(tuuletegur R_18*[1]!Tuulekoormus_en(O$5,Qj,hj,zo,O$4,JaideJ,jaitetegur R_18))^2)</f>
        <v>0</v>
      </c>
      <c r="P94" s="9">
        <f>SQRT((kaalutegur R_18*[1]!juhe(P5,6)+jaitetegur R_18*[1]!Jaitekoormus_EN(P$5,JaideJ,hj))^2+(tuuletegur R_18*[1]!Tuulekoormus_en(P$5,Qj,hj,zo,P$4,JaideJ,jaitetegur R_18))^2)</f>
        <v>0</v>
      </c>
      <c r="Q94" s="9">
        <f>SQRT((kaalutegur R_18*[1]!juhe(Q5,6)+jaitetegur R_18*[1]!Jaitekoormus_EN(Q$5,JaideJ,hj))^2+(tuuletegur R_18*[1]!Tuulekoormus_en(Q$5,Qj,hj,zo,Q$4,JaideJ,jaitetegur R_18))^2)</f>
        <v>0</v>
      </c>
      <c r="R94" s="9">
        <f>SQRT((kaalutegur R_18*[1]!juhe(R5,6)+jaitetegur R_18*[1]!Jaitekoormus_EN(R$5,JaideJ,hj))^2+(tuuletegur R_18*[1]!Tuulekoormus_en(R$5,Qj,hj,zo,R$4,JaideJ,jaitetegur R_18))^2)</f>
        <v>0</v>
      </c>
    </row>
    <row r="95" spans="1:18" x14ac:dyDescent="0.2">
      <c r="A95" s="159"/>
      <c r="B95" s="174"/>
      <c r="C95" s="77" t="s">
        <v>104</v>
      </c>
      <c r="D95" s="22">
        <f>[1]!Olekuvorrand(D$4,D$5,D$6,5,D$9,Lähteandmed!$C75,D94)</f>
        <v>0</v>
      </c>
      <c r="E95" s="22">
        <f>[1]!Olekuvorrand(E$4,E$5,E$6,5,E$9,Lähteandmed!$C75,E94)</f>
        <v>0</v>
      </c>
      <c r="F95" s="22">
        <f>[1]!Olekuvorrand(F$4,F$5,F$6,5,F$9,Lähteandmed!$C75,F94)</f>
        <v>0</v>
      </c>
      <c r="G95" s="22">
        <f>[1]!Olekuvorrand(G$4,G$5,G$6,5,G$9,Lähteandmed!$C75,G94)</f>
        <v>0</v>
      </c>
      <c r="H95" s="22">
        <f>[1]!Olekuvorrand(H$4,H$5,H$6,5,H$9,Lähteandmed!$C75,H94)</f>
        <v>0</v>
      </c>
      <c r="I95" s="22">
        <f>[1]!Olekuvorrand(I$4,I$5,I$6,5,I$9,Lähteandmed!$C75,I94)</f>
        <v>0</v>
      </c>
      <c r="J95" s="22">
        <f>[1]!Olekuvorrand(J$4,J$5,J$6,5,J$9,Lähteandmed!$C75,J94)</f>
        <v>0</v>
      </c>
      <c r="K95" s="22">
        <f>[1]!Olekuvorrand(K$4,K$5,K$6,5,K$9,Lähteandmed!$C75,K94)</f>
        <v>0</v>
      </c>
      <c r="L95" s="22">
        <f>[1]!Olekuvorrand(L$4,L$5,L$6,5,L$9,Lähteandmed!$C75,L94)</f>
        <v>0</v>
      </c>
      <c r="M95" s="22">
        <f>[1]!Olekuvorrand(M$4,M$5,M$6,5,M$9,Lähteandmed!$C75,M94)</f>
        <v>0</v>
      </c>
      <c r="N95" s="22">
        <f>[1]!Olekuvorrand(N$4,N$5,N$6,5,N$9,Lähteandmed!$C75,N94)</f>
        <v>0</v>
      </c>
      <c r="O95" s="22">
        <f>[1]!Olekuvorrand(O$4,O$5,O$6,5,O$9,Lähteandmed!$C75,O94)</f>
        <v>0</v>
      </c>
      <c r="P95" s="22">
        <f>[1]!Olekuvorrand(P$4,P$5,P$6,5,P$9,Lähteandmed!$C75,P94)</f>
        <v>0</v>
      </c>
      <c r="Q95" s="22">
        <f>[1]!Olekuvorrand(Q$4,Q$5,Q$6,5,Q$9,Lähteandmed!$C75,Q94)</f>
        <v>0</v>
      </c>
      <c r="R95" s="22">
        <f>[1]!Olekuvorrand(R$4,R$5,R$6,5,R$9,Lähteandmed!$C75,R94)</f>
        <v>0</v>
      </c>
    </row>
    <row r="96" spans="1:18" x14ac:dyDescent="0.2">
      <c r="A96" s="159"/>
      <c r="B96" s="174"/>
      <c r="C96" s="77" t="s">
        <v>105</v>
      </c>
      <c r="D96" s="9">
        <f>[1]!ripe(D95,D$9+Lähteandmed!$E75*D$11,D$4,0)</f>
        <v>0</v>
      </c>
      <c r="E96" s="9">
        <f>[1]!ripe(E95,E$9+Lähteandmed!$E75*D$11,E$4,0)</f>
        <v>0</v>
      </c>
      <c r="F96" s="9">
        <f>[1]!ripe(F95,F$9+Lähteandmed!$E75*D$11,F$4,0)</f>
        <v>0</v>
      </c>
      <c r="G96" s="9">
        <f>[1]!ripe(G95,G$9+Lähteandmed!$E75*D$11,G$4,0)</f>
        <v>0</v>
      </c>
      <c r="H96" s="9">
        <f>[1]!ripe(H95,H$9+Lähteandmed!$E75*D$11,H$4,0)</f>
        <v>0</v>
      </c>
      <c r="I96" s="9">
        <f>[1]!ripe(I95,I$9+Lähteandmed!$E75*D$11,I$4,0)</f>
        <v>0</v>
      </c>
      <c r="J96" s="9">
        <f>[1]!ripe(J95,J$9+Lähteandmed!$E75*D$11,J$4,0)</f>
        <v>0</v>
      </c>
      <c r="K96" s="9">
        <f>[1]!ripe(K95,K$9+Lähteandmed!$E75*D$11,K$4,0)</f>
        <v>0</v>
      </c>
      <c r="L96" s="9">
        <f>[1]!ripe(L95,L$9+Lähteandmed!$E75*D$11,L$4,0)</f>
        <v>0</v>
      </c>
      <c r="M96" s="9">
        <f>[1]!ripe(M95,M$9+Lähteandmed!$E75*D$11,M$4,0)</f>
        <v>0</v>
      </c>
      <c r="N96" s="9">
        <f>[1]!ripe(N95,N$9+Lähteandmed!$E75*D$11,N$4,0)</f>
        <v>0</v>
      </c>
      <c r="O96" s="9">
        <f>[1]!ripe(O95,O$9+Lähteandmed!$E75*D$11,O$4,0)</f>
        <v>0</v>
      </c>
      <c r="P96" s="9">
        <f>[1]!ripe(P95,P$9+Lähteandmed!$E75*D$11,P$4,0)</f>
        <v>0</v>
      </c>
      <c r="Q96" s="9">
        <f>[1]!ripe(Q95,Q$9+Lähteandmed!$E75*D$11,Q$4,0)</f>
        <v>0</v>
      </c>
      <c r="R96" s="9">
        <f>[1]!ripe(R95,R$9+Lähteandmed!$E75*D$11,R$4,0)</f>
        <v>0</v>
      </c>
    </row>
    <row r="97" spans="1:18" x14ac:dyDescent="0.2">
      <c r="A97" s="39"/>
      <c r="B97" s="174"/>
      <c r="C97" s="77" t="s">
        <v>49</v>
      </c>
      <c r="D97" s="51">
        <f t="shared" ref="D97:K97" si="72">D96/D$4^2*1000000</f>
        <v>0</v>
      </c>
      <c r="E97" s="51">
        <f t="shared" si="72"/>
        <v>0</v>
      </c>
      <c r="F97" s="51">
        <f t="shared" si="72"/>
        <v>0</v>
      </c>
      <c r="G97" s="51">
        <f t="shared" si="72"/>
        <v>0</v>
      </c>
      <c r="H97" s="51">
        <f t="shared" si="72"/>
        <v>0</v>
      </c>
      <c r="I97" s="51">
        <f t="shared" si="72"/>
        <v>0</v>
      </c>
      <c r="J97" s="51">
        <f t="shared" si="72"/>
        <v>0</v>
      </c>
      <c r="K97" s="51">
        <f t="shared" si="72"/>
        <v>0</v>
      </c>
      <c r="L97" s="51">
        <f t="shared" ref="L97:Q97" si="73">L96/L$4^2*1000000</f>
        <v>0</v>
      </c>
      <c r="M97" s="51">
        <f t="shared" si="73"/>
        <v>0</v>
      </c>
      <c r="N97" s="51">
        <f t="shared" si="73"/>
        <v>0</v>
      </c>
      <c r="O97" s="51">
        <f t="shared" si="73"/>
        <v>0</v>
      </c>
      <c r="P97" s="51">
        <f t="shared" si="73"/>
        <v>0</v>
      </c>
      <c r="Q97" s="51">
        <f t="shared" si="73"/>
        <v>0</v>
      </c>
      <c r="R97" s="51">
        <f t="shared" ref="R97" si="74">R96/R$4^2*1000000</f>
        <v>0</v>
      </c>
    </row>
    <row r="98" spans="1:18" ht="38.25" x14ac:dyDescent="0.2">
      <c r="A98" s="172">
        <v>19</v>
      </c>
      <c r="B98" s="173">
        <f>Lähteandmed!B78</f>
        <v>0</v>
      </c>
      <c r="C98" s="76" t="s">
        <v>222</v>
      </c>
      <c r="D98" s="6">
        <f>SQRT((kaalutegur R_19*[1]!juhe(D5,6)+jaitetegur R_19*[1]!Jaitekoormus_EN(D$5,JaideJ,hj))^2+(tuuletegur R_19*[1]!Tuulekoormus_en(D$5,Qj,hj,zo,D$4,JaideJ,jaitetegur R_19))^2)</f>
        <v>0</v>
      </c>
      <c r="E98" s="6">
        <f>SQRT((kaalutegur R_19*[1]!juhe(E5,6)+jaitetegur R_19*[1]!Jaitekoormus_EN(E$5,JaideJ,hj))^2+(tuuletegur R_19*[1]!Tuulekoormus_en(E$5,Qj,hj,zo,E$4,JaideJ,jaitetegur R_19))^2)</f>
        <v>0</v>
      </c>
      <c r="F98" s="6">
        <f>SQRT((kaalutegur R_19*[1]!juhe(F5,6)+jaitetegur R_19*[1]!Jaitekoormus_EN(F$5,JaideJ,hj))^2+(tuuletegur R_19*[1]!Tuulekoormus_en(F$5,Qj,hj,zo,F$4,JaideJ,jaitetegur R_19))^2)</f>
        <v>0</v>
      </c>
      <c r="G98" s="6">
        <f>SQRT((kaalutegur R_19*[1]!juhe(G5,6)+jaitetegur R_19*[1]!Jaitekoormus_EN(G$5,JaideJ,hj))^2+(tuuletegur R_19*[1]!Tuulekoormus_en(G$5,Qj,hj,zo,G$4,JaideJ,jaitetegur R_19))^2)</f>
        <v>0</v>
      </c>
      <c r="H98" s="6">
        <f>SQRT((kaalutegur R_19*[1]!juhe(H5,6)+jaitetegur R_19*[1]!Jaitekoormus_EN(H$5,JaideJ,hj))^2+(tuuletegur R_19*[1]!Tuulekoormus_en(H$5,Qj,hj,zo,H$4,JaideJ,jaitetegur R_19))^2)</f>
        <v>0</v>
      </c>
      <c r="I98" s="6">
        <f>SQRT((kaalutegur R_19*[1]!juhe(I5,6)+jaitetegur R_19*[1]!Jaitekoormus_EN(I$5,JaideJ,hj))^2+(tuuletegur R_19*[1]!Tuulekoormus_en(I$5,Qj,hj,zo,I$4,JaideJ,jaitetegur R_19))^2)</f>
        <v>0</v>
      </c>
      <c r="J98" s="6">
        <f>SQRT((kaalutegur R_19*[1]!juhe(J5,6)+jaitetegur R_19*[1]!Jaitekoormus_EN(J$5,JaideJ,hj))^2+(tuuletegur R_19*[1]!Tuulekoormus_en(J$5,Qj,hj,zo,J$4,JaideJ,jaitetegur R_19))^2)</f>
        <v>0</v>
      </c>
      <c r="K98" s="6">
        <f>SQRT((kaalutegur R_19*[1]!juhe(K5,6)+jaitetegur R_19*[1]!Jaitekoormus_EN(K$5,JaideJ,hj))^2+(tuuletegur R_19*[1]!Tuulekoormus_en(K$5,Qj,hj,zo,K$4,JaideJ,jaitetegur R_19))^2)</f>
        <v>0</v>
      </c>
      <c r="L98" s="6">
        <f>SQRT((kaalutegur R_19*[1]!juhe(L5,6)+jaitetegur R_19*[1]!Jaitekoormus_EN(L$5,JaideJ,hj))^2+(tuuletegur R_19*[1]!Tuulekoormus_en(L$5,Qj,hj,zo,L$4,JaideJ,jaitetegur R_19))^2)</f>
        <v>0</v>
      </c>
      <c r="M98" s="6">
        <f>SQRT((kaalutegur R_19*[1]!juhe(M5,6)+jaitetegur R_19*[1]!Jaitekoormus_EN(M$5,JaideJ,hj))^2+(tuuletegur R_19*[1]!Tuulekoormus_en(M$5,Qj,hj,zo,M$4,JaideJ,jaitetegur R_19))^2)</f>
        <v>0</v>
      </c>
      <c r="N98" s="6">
        <f>SQRT((kaalutegur R_19*[1]!juhe(N5,6)+jaitetegur R_19*[1]!Jaitekoormus_EN(N$5,JaideJ,hj))^2+(tuuletegur R_19*[1]!Tuulekoormus_en(N$5,Qj,hj,zo,N$4,JaideJ,jaitetegur R_19))^2)</f>
        <v>0</v>
      </c>
      <c r="O98" s="6">
        <f>SQRT((kaalutegur R_19*[1]!juhe(O5,6)+jaitetegur R_19*[1]!Jaitekoormus_EN(O$5,JaideJ,hj))^2+(tuuletegur R_19*[1]!Tuulekoormus_en(O$5,Qj,hj,zo,O$4,JaideJ,jaitetegur R_19))^2)</f>
        <v>0</v>
      </c>
      <c r="P98" s="6">
        <f>SQRT((kaalutegur R_19*[1]!juhe(P5,6)+jaitetegur R_19*[1]!Jaitekoormus_EN(P$5,JaideJ,hj))^2+(tuuletegur R_19*[1]!Tuulekoormus_en(P$5,Qj,hj,zo,P$4,JaideJ,jaitetegur R_19))^2)</f>
        <v>0</v>
      </c>
      <c r="Q98" s="6">
        <f>SQRT((kaalutegur R_19*[1]!juhe(Q5,6)+jaitetegur R_19*[1]!Jaitekoormus_EN(Q$5,JaideJ,hj))^2+(tuuletegur R_19*[1]!Tuulekoormus_en(Q$5,Qj,hj,zo,Q$4,JaideJ,jaitetegur R_19))^2)</f>
        <v>0</v>
      </c>
      <c r="R98" s="6">
        <f>SQRT((kaalutegur R_19*[1]!juhe(R5,6)+jaitetegur R_19*[1]!Jaitekoormus_EN(R$5,JaideJ,hj))^2+(tuuletegur R_19*[1]!Tuulekoormus_en(R$5,Qj,hj,zo,R$4,JaideJ,jaitetegur R_19))^2)</f>
        <v>0</v>
      </c>
    </row>
    <row r="99" spans="1:18" x14ac:dyDescent="0.2">
      <c r="A99" s="172"/>
      <c r="B99" s="173"/>
      <c r="C99" s="76" t="s">
        <v>104</v>
      </c>
      <c r="D99" s="3">
        <f>[1]!Olekuvorrand(D$4,D$5,D$6,5,D$9,Lähteandmed!$C78,D98)</f>
        <v>0</v>
      </c>
      <c r="E99" s="3">
        <f>[1]!Olekuvorrand(E$4,E$5,E$6,5,E$9,Lähteandmed!$C78,E98)</f>
        <v>0</v>
      </c>
      <c r="F99" s="3">
        <f>[1]!Olekuvorrand(F$4,F$5,F$6,5,F$9,Lähteandmed!$C78,F98)</f>
        <v>0</v>
      </c>
      <c r="G99" s="3">
        <f>[1]!Olekuvorrand(G$4,G$5,G$6,5,G$9,Lähteandmed!$C78,G98)</f>
        <v>0</v>
      </c>
      <c r="H99" s="3">
        <f>[1]!Olekuvorrand(H$4,H$5,H$6,5,H$9,Lähteandmed!$C78,H98)</f>
        <v>0</v>
      </c>
      <c r="I99" s="3">
        <f>[1]!Olekuvorrand(I$4,I$5,I$6,5,I$9,Lähteandmed!$C78,I98)</f>
        <v>0</v>
      </c>
      <c r="J99" s="3">
        <f>[1]!Olekuvorrand(J$4,J$5,J$6,5,J$9,Lähteandmed!$C78,J98)</f>
        <v>0</v>
      </c>
      <c r="K99" s="3">
        <f>[1]!Olekuvorrand(K$4,K$5,K$6,5,K$9,Lähteandmed!$C78,K98)</f>
        <v>0</v>
      </c>
      <c r="L99" s="3">
        <f>[1]!Olekuvorrand(L$4,L$5,L$6,5,L$9,Lähteandmed!$C78,L98)</f>
        <v>0</v>
      </c>
      <c r="M99" s="3">
        <f>[1]!Olekuvorrand(M$4,M$5,M$6,5,M$9,Lähteandmed!$C78,M98)</f>
        <v>0</v>
      </c>
      <c r="N99" s="3">
        <f>[1]!Olekuvorrand(N$4,N$5,N$6,5,N$9,Lähteandmed!$C78,N98)</f>
        <v>0</v>
      </c>
      <c r="O99" s="3">
        <f>[1]!Olekuvorrand(O$4,O$5,O$6,5,O$9,Lähteandmed!$C78,O98)</f>
        <v>0</v>
      </c>
      <c r="P99" s="3">
        <f>[1]!Olekuvorrand(P$4,P$5,P$6,5,P$9,Lähteandmed!$C78,P98)</f>
        <v>0</v>
      </c>
      <c r="Q99" s="3">
        <f>[1]!Olekuvorrand(Q$4,Q$5,Q$6,5,Q$9,Lähteandmed!$C78,Q98)</f>
        <v>0</v>
      </c>
      <c r="R99" s="3">
        <f>[1]!Olekuvorrand(R$4,R$5,R$6,5,R$9,Lähteandmed!$C78,R98)</f>
        <v>0</v>
      </c>
    </row>
    <row r="100" spans="1:18" x14ac:dyDescent="0.2">
      <c r="A100" s="172"/>
      <c r="B100" s="173"/>
      <c r="C100" s="76" t="s">
        <v>105</v>
      </c>
      <c r="D100" s="3">
        <f>[1]!ripe(D99,D$9+Lähteandmed!$E78*D$11,D$4,0)</f>
        <v>0</v>
      </c>
      <c r="E100" s="3">
        <f>[1]!ripe(E99,E$9+Lähteandmed!$E78*D$11,E$4,0)</f>
        <v>0</v>
      </c>
      <c r="F100" s="3">
        <f>[1]!ripe(F99,F$9+Lähteandmed!$E78*D$11,F$4,0)</f>
        <v>0</v>
      </c>
      <c r="G100" s="3">
        <f>[1]!ripe(G99,G$9+Lähteandmed!$E78*D$11,G$4,0)</f>
        <v>0</v>
      </c>
      <c r="H100" s="3">
        <f>[1]!ripe(H99,H$9+Lähteandmed!$E78*D$11,H$4,0)</f>
        <v>0</v>
      </c>
      <c r="I100" s="3">
        <f>[1]!ripe(I99,I$9+Lähteandmed!$E78*D$11,I$4,0)</f>
        <v>0</v>
      </c>
      <c r="J100" s="3">
        <f>[1]!ripe(J99,J$9+Lähteandmed!$E78*D$11,J$4,0)</f>
        <v>0</v>
      </c>
      <c r="K100" s="3">
        <f>[1]!ripe(K99,K$9+Lähteandmed!$E78*D$11,K$4,0)</f>
        <v>0</v>
      </c>
      <c r="L100" s="3">
        <f>[1]!ripe(L99,L$9+Lähteandmed!$E78*D$11,L$4,0)</f>
        <v>0</v>
      </c>
      <c r="M100" s="3">
        <f>[1]!ripe(M99,M$9+Lähteandmed!$E78*D$11,M$4,0)</f>
        <v>0</v>
      </c>
      <c r="N100" s="3">
        <f>[1]!ripe(N99,N$9+Lähteandmed!$E78*D$11,N$4,0)</f>
        <v>0</v>
      </c>
      <c r="O100" s="3">
        <f>[1]!ripe(O99,O$9+Lähteandmed!$E78*D$11,O$4,0)</f>
        <v>0</v>
      </c>
      <c r="P100" s="3">
        <f>[1]!ripe(P99,P$9+Lähteandmed!$E78*D$11,P$4,0)</f>
        <v>0</v>
      </c>
      <c r="Q100" s="3">
        <f>[1]!ripe(Q99,Q$9+Lähteandmed!$E78*D$11,Q$4,0)</f>
        <v>0</v>
      </c>
      <c r="R100" s="3">
        <f>[1]!ripe(R99,R$9+Lähteandmed!$E78*D$11,R$4,0)</f>
        <v>0</v>
      </c>
    </row>
    <row r="101" spans="1:18" x14ac:dyDescent="0.2">
      <c r="A101" s="42"/>
      <c r="B101" s="173"/>
      <c r="C101" s="76" t="s">
        <v>49</v>
      </c>
      <c r="D101" s="50">
        <f t="shared" ref="D101:K101" si="75">D100/D$4^2*1000000</f>
        <v>0</v>
      </c>
      <c r="E101" s="50">
        <f t="shared" si="75"/>
        <v>0</v>
      </c>
      <c r="F101" s="50">
        <f t="shared" si="75"/>
        <v>0</v>
      </c>
      <c r="G101" s="50">
        <f t="shared" si="75"/>
        <v>0</v>
      </c>
      <c r="H101" s="50">
        <f t="shared" si="75"/>
        <v>0</v>
      </c>
      <c r="I101" s="50">
        <f t="shared" si="75"/>
        <v>0</v>
      </c>
      <c r="J101" s="50">
        <f t="shared" si="75"/>
        <v>0</v>
      </c>
      <c r="K101" s="50">
        <f t="shared" si="75"/>
        <v>0</v>
      </c>
      <c r="L101" s="50">
        <f t="shared" ref="L101:Q101" si="76">L100/L$4^2*1000000</f>
        <v>0</v>
      </c>
      <c r="M101" s="50">
        <f t="shared" si="76"/>
        <v>0</v>
      </c>
      <c r="N101" s="50">
        <f t="shared" si="76"/>
        <v>0</v>
      </c>
      <c r="O101" s="50">
        <f t="shared" si="76"/>
        <v>0</v>
      </c>
      <c r="P101" s="50">
        <f t="shared" si="76"/>
        <v>0</v>
      </c>
      <c r="Q101" s="50">
        <f t="shared" si="76"/>
        <v>0</v>
      </c>
      <c r="R101" s="50">
        <f t="shared" ref="R101" si="77">R100/R$4^2*1000000</f>
        <v>0</v>
      </c>
    </row>
    <row r="102" spans="1:18" ht="38.25" x14ac:dyDescent="0.2">
      <c r="A102" s="159">
        <v>20</v>
      </c>
      <c r="B102" s="174">
        <f>Lähteandmed!B81</f>
        <v>0</v>
      </c>
      <c r="C102" s="77" t="s">
        <v>222</v>
      </c>
      <c r="D102" s="9">
        <f>SQRT((kaalutegur R_20*[1]!juhe(D5,6)+jaitetegur R_20*[1]!Jaitekoormus_EN(D$5,JaideJ,hj))^2+(tuuletegur R_20*[1]!Tuulekoormus_en(D$5,Qj,hj,zo,D$4,JaideJ,jaitetegur R_20))^2)</f>
        <v>0</v>
      </c>
      <c r="E102" s="9">
        <f>SQRT((kaalutegur R_20*[1]!juhe(E5,6)+jaitetegur R_20*[1]!Jaitekoormus_EN(E$5,JaideJ,hj))^2+(tuuletegur R_20*[1]!Tuulekoormus_en(E$5,Qj,hj,zo,E$4,JaideJ,jaitetegur R_20))^2)</f>
        <v>0</v>
      </c>
      <c r="F102" s="9">
        <f>SQRT((kaalutegur R_20*[1]!juhe(F5,6)+jaitetegur R_20*[1]!Jaitekoormus_EN(F$5,JaideJ,hj))^2+(tuuletegur R_20*[1]!Tuulekoormus_en(F$5,Qj,hj,zo,F$4,JaideJ,jaitetegur R_20))^2)</f>
        <v>0</v>
      </c>
      <c r="G102" s="9">
        <f>SQRT((kaalutegur R_20*[1]!juhe(G5,6)+jaitetegur R_20*[1]!Jaitekoormus_EN(G$5,JaideJ,hj))^2+(tuuletegur R_20*[1]!Tuulekoormus_en(G$5,Qj,hj,zo,G$4,JaideJ,jaitetegur R_20))^2)</f>
        <v>0</v>
      </c>
      <c r="H102" s="9">
        <f>SQRT((kaalutegur R_20*[1]!juhe(H5,6)+jaitetegur R_20*[1]!Jaitekoormus_EN(H$5,JaideJ,hj))^2+(tuuletegur R_20*[1]!Tuulekoormus_en(H$5,Qj,hj,zo,H$4,JaideJ,jaitetegur R_20))^2)</f>
        <v>0</v>
      </c>
      <c r="I102" s="9">
        <f>SQRT((kaalutegur R_20*[1]!juhe(I5,6)+jaitetegur R_20*[1]!Jaitekoormus_EN(I$5,JaideJ,hj))^2+(tuuletegur R_20*[1]!Tuulekoormus_en(I$5,Qj,hj,zo,I$4,JaideJ,jaitetegur R_20))^2)</f>
        <v>0</v>
      </c>
      <c r="J102" s="9">
        <f>SQRT((kaalutegur R_20*[1]!juhe(J5,6)+jaitetegur R_20*[1]!Jaitekoormus_EN(J$5,JaideJ,hj))^2+(tuuletegur R_20*[1]!Tuulekoormus_en(J$5,Qj,hj,zo,J$4,JaideJ,jaitetegur R_20))^2)</f>
        <v>0</v>
      </c>
      <c r="K102" s="9">
        <f>SQRT((kaalutegur R_20*[1]!juhe(K5,6)+jaitetegur R_20*[1]!Jaitekoormus_EN(K$5,JaideJ,hj))^2+(tuuletegur R_20*[1]!Tuulekoormus_en(K$5,Qj,hj,zo,K$4,JaideJ,jaitetegur R_20))^2)</f>
        <v>0</v>
      </c>
      <c r="L102" s="9">
        <f>SQRT((kaalutegur R_20*[1]!juhe(L5,6)+jaitetegur R_20*[1]!Jaitekoormus_EN(L$5,JaideJ,hj))^2+(tuuletegur R_20*[1]!Tuulekoormus_en(L$5,Qj,hj,zo,L$4,JaideJ,jaitetegur R_20))^2)</f>
        <v>0</v>
      </c>
      <c r="M102" s="9">
        <f>SQRT((kaalutegur R_20*[1]!juhe(M5,6)+jaitetegur R_20*[1]!Jaitekoormus_EN(M$5,JaideJ,hj))^2+(tuuletegur R_20*[1]!Tuulekoormus_en(M$5,Qj,hj,zo,M$4,JaideJ,jaitetegur R_20))^2)</f>
        <v>0</v>
      </c>
      <c r="N102" s="9">
        <f>SQRT((kaalutegur R_20*[1]!juhe(N5,6)+jaitetegur R_20*[1]!Jaitekoormus_EN(N$5,JaideJ,hj))^2+(tuuletegur R_20*[1]!Tuulekoormus_en(N$5,Qj,hj,zo,N$4,JaideJ,jaitetegur R_20))^2)</f>
        <v>0</v>
      </c>
      <c r="O102" s="9">
        <f>SQRT((kaalutegur R_20*[1]!juhe(O5,6)+jaitetegur R_20*[1]!Jaitekoormus_EN(O$5,JaideJ,hj))^2+(tuuletegur R_20*[1]!Tuulekoormus_en(O$5,Qj,hj,zo,O$4,JaideJ,jaitetegur R_20))^2)</f>
        <v>0</v>
      </c>
      <c r="P102" s="9">
        <f>SQRT((kaalutegur R_20*[1]!juhe(P5,6)+jaitetegur R_20*[1]!Jaitekoormus_EN(P$5,JaideJ,hj))^2+(tuuletegur R_20*[1]!Tuulekoormus_en(P$5,Qj,hj,zo,P$4,JaideJ,jaitetegur R_20))^2)</f>
        <v>0</v>
      </c>
      <c r="Q102" s="9">
        <f>SQRT((kaalutegur R_20*[1]!juhe(Q5,6)+jaitetegur R_20*[1]!Jaitekoormus_EN(Q$5,JaideJ,hj))^2+(tuuletegur R_20*[1]!Tuulekoormus_en(Q$5,Qj,hj,zo,Q$4,JaideJ,jaitetegur R_20))^2)</f>
        <v>0</v>
      </c>
      <c r="R102" s="9">
        <f>SQRT((kaalutegur R_20*[1]!juhe(R5,6)+jaitetegur R_20*[1]!Jaitekoormus_EN(R$5,JaideJ,hj))^2+(tuuletegur R_20*[1]!Tuulekoormus_en(R$5,Qj,hj,zo,R$4,JaideJ,jaitetegur R_20))^2)</f>
        <v>0</v>
      </c>
    </row>
    <row r="103" spans="1:18" x14ac:dyDescent="0.2">
      <c r="A103" s="159"/>
      <c r="B103" s="174"/>
      <c r="C103" s="77" t="s">
        <v>104</v>
      </c>
      <c r="D103" s="22">
        <f>[1]!Olekuvorrand(D$4,D$5,D$6,5,D$9,Lähteandmed!$C81,D102)</f>
        <v>0</v>
      </c>
      <c r="E103" s="22">
        <f>[1]!Olekuvorrand(E$4,E$5,E$6,5,E$9,Lähteandmed!$C81,E102)</f>
        <v>0</v>
      </c>
      <c r="F103" s="22">
        <f>[1]!Olekuvorrand(F$4,F$5,F$6,5,F$9,Lähteandmed!$C81,F102)</f>
        <v>0</v>
      </c>
      <c r="G103" s="22">
        <f>[1]!Olekuvorrand(G$4,G$5,G$6,5,G$9,Lähteandmed!$C81,G102)</f>
        <v>0</v>
      </c>
      <c r="H103" s="22">
        <f>[1]!Olekuvorrand(H$4,H$5,H$6,5,H$9,Lähteandmed!$C81,H102)</f>
        <v>0</v>
      </c>
      <c r="I103" s="22">
        <f>[1]!Olekuvorrand(I$4,I$5,I$6,5,I$9,Lähteandmed!$C81,I102)</f>
        <v>0</v>
      </c>
      <c r="J103" s="22">
        <f>[1]!Olekuvorrand(J$4,J$5,J$6,5,J$9,Lähteandmed!$C81,J102)</f>
        <v>0</v>
      </c>
      <c r="K103" s="22">
        <f>[1]!Olekuvorrand(K$4,K$5,K$6,5,K$9,Lähteandmed!$C81,K102)</f>
        <v>0</v>
      </c>
      <c r="L103" s="22">
        <f>[1]!Olekuvorrand(L$4,L$5,L$6,5,L$9,Lähteandmed!$C81,L102)</f>
        <v>0</v>
      </c>
      <c r="M103" s="22">
        <f>[1]!Olekuvorrand(M$4,M$5,M$6,5,M$9,Lähteandmed!$C81,M102)</f>
        <v>0</v>
      </c>
      <c r="N103" s="22">
        <f>[1]!Olekuvorrand(N$4,N$5,N$6,5,N$9,Lähteandmed!$C81,N102)</f>
        <v>0</v>
      </c>
      <c r="O103" s="22">
        <f>[1]!Olekuvorrand(O$4,O$5,O$6,5,O$9,Lähteandmed!$C81,O102)</f>
        <v>0</v>
      </c>
      <c r="P103" s="22">
        <f>[1]!Olekuvorrand(P$4,P$5,P$6,5,P$9,Lähteandmed!$C81,P102)</f>
        <v>0</v>
      </c>
      <c r="Q103" s="22">
        <f>[1]!Olekuvorrand(Q$4,Q$5,Q$6,5,Q$9,Lähteandmed!$C81,Q102)</f>
        <v>0</v>
      </c>
      <c r="R103" s="22">
        <f>[1]!Olekuvorrand(R$4,R$5,R$6,5,R$9,Lähteandmed!$C81,R102)</f>
        <v>0</v>
      </c>
    </row>
    <row r="104" spans="1:18" x14ac:dyDescent="0.2">
      <c r="A104" s="159"/>
      <c r="B104" s="174"/>
      <c r="C104" s="77" t="s">
        <v>105</v>
      </c>
      <c r="D104" s="9">
        <f>[1]!ripe(D103,D$9+Lähteandmed!$E81*D$11,D$4,0)</f>
        <v>0</v>
      </c>
      <c r="E104" s="9">
        <f>[1]!ripe(E103,E$9+Lähteandmed!$E81*D$11,E$4,0)</f>
        <v>0</v>
      </c>
      <c r="F104" s="9">
        <f>[1]!ripe(F103,F$9+Lähteandmed!$E81*D$11,F$4,0)</f>
        <v>0</v>
      </c>
      <c r="G104" s="9">
        <f>[1]!ripe(G103,G$9+Lähteandmed!$E81*D$11,G$4,0)</f>
        <v>0</v>
      </c>
      <c r="H104" s="9">
        <f>[1]!ripe(H103,H$9+Lähteandmed!$E81*D$11,H$4,0)</f>
        <v>0</v>
      </c>
      <c r="I104" s="9">
        <f>[1]!ripe(I103,I$9+Lähteandmed!$E81*D$11,I$4,0)</f>
        <v>0</v>
      </c>
      <c r="J104" s="9">
        <f>[1]!ripe(J103,J$9+Lähteandmed!$E81*D$11,J$4,0)</f>
        <v>0</v>
      </c>
      <c r="K104" s="9">
        <f>[1]!ripe(K103,K$9+Lähteandmed!$E81*D$11,K$4,0)</f>
        <v>0</v>
      </c>
      <c r="L104" s="9">
        <f>[1]!ripe(L103,L$9+Lähteandmed!$E81*D$11,L$4,0)</f>
        <v>0</v>
      </c>
      <c r="M104" s="9">
        <f>[1]!ripe(M103,M$9+Lähteandmed!$E81*D$11,M$4,0)</f>
        <v>0</v>
      </c>
      <c r="N104" s="9">
        <f>[1]!ripe(N103,N$9+Lähteandmed!$E81*D$11,N$4,0)</f>
        <v>0</v>
      </c>
      <c r="O104" s="9">
        <f>[1]!ripe(O103,O$9+Lähteandmed!$E81*D$11,O$4,0)</f>
        <v>0</v>
      </c>
      <c r="P104" s="9">
        <f>[1]!ripe(P103,P$9+Lähteandmed!$E81*D$11,P$4,0)</f>
        <v>0</v>
      </c>
      <c r="Q104" s="9">
        <f>[1]!ripe(Q103,Q$9+Lähteandmed!$E81*D$11,Q$4,0)</f>
        <v>0</v>
      </c>
      <c r="R104" s="9">
        <f>[1]!ripe(R103,R$9+Lähteandmed!$E81*D$11,R$4,0)</f>
        <v>0</v>
      </c>
    </row>
    <row r="105" spans="1:18" x14ac:dyDescent="0.2">
      <c r="B105" s="174"/>
      <c r="C105" s="77" t="s">
        <v>49</v>
      </c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</row>
    <row r="106" spans="1:18" x14ac:dyDescent="0.2">
      <c r="D106" s="6"/>
      <c r="E106" s="6"/>
      <c r="F106" s="6"/>
      <c r="G106" s="6"/>
      <c r="H106" s="6"/>
      <c r="I106" s="6"/>
      <c r="J106" s="6"/>
      <c r="K106" s="6"/>
    </row>
    <row r="110" spans="1:18" x14ac:dyDescent="0.2">
      <c r="D110" t="s">
        <v>54</v>
      </c>
      <c r="E110" t="s">
        <v>59</v>
      </c>
    </row>
    <row r="112" spans="1:18" x14ac:dyDescent="0.2">
      <c r="D112" t="s">
        <v>51</v>
      </c>
      <c r="E112">
        <v>395</v>
      </c>
    </row>
    <row r="113" spans="4:8" x14ac:dyDescent="0.2">
      <c r="D113" t="s">
        <v>52</v>
      </c>
      <c r="E113">
        <v>3.3099999999999997E-2</v>
      </c>
    </row>
    <row r="114" spans="4:8" x14ac:dyDescent="0.2">
      <c r="D114" t="s">
        <v>53</v>
      </c>
      <c r="E114">
        <v>70</v>
      </c>
    </row>
    <row r="115" spans="4:8" x14ac:dyDescent="0.2">
      <c r="D115" t="s">
        <v>57</v>
      </c>
      <c r="E115">
        <v>5</v>
      </c>
    </row>
    <row r="116" spans="4:8" x14ac:dyDescent="0.2">
      <c r="D116" t="s">
        <v>58</v>
      </c>
      <c r="E116">
        <v>-5</v>
      </c>
    </row>
    <row r="117" spans="4:8" x14ac:dyDescent="0.2">
      <c r="D117" t="s">
        <v>56</v>
      </c>
      <c r="E117">
        <v>5.8599999999999999E-2</v>
      </c>
      <c r="H117">
        <v>5.4480000000000001E-2</v>
      </c>
    </row>
    <row r="118" spans="4:8" x14ac:dyDescent="0.2">
      <c r="D118" t="s">
        <v>55</v>
      </c>
      <c r="E118" t="e">
        <f>[1]!olekuvorrand_IN(E112,E110,E114,E115,E113,E116,E117)</f>
        <v>#VALUE!</v>
      </c>
      <c r="F118">
        <f>[1]!olekuvorrand_IN(F112,F110,F114,F115,F113,F116,F117)</f>
        <v>0</v>
      </c>
    </row>
    <row r="120" spans="4:8" x14ac:dyDescent="0.2">
      <c r="D120" t="s">
        <v>58</v>
      </c>
      <c r="E120">
        <v>25</v>
      </c>
    </row>
    <row r="121" spans="4:8" x14ac:dyDescent="0.2">
      <c r="D121" t="s">
        <v>56</v>
      </c>
      <c r="E121">
        <v>3.3099999999999997E-2</v>
      </c>
    </row>
    <row r="122" spans="4:8" x14ac:dyDescent="0.2">
      <c r="D122" t="s">
        <v>55</v>
      </c>
      <c r="F122" t="e">
        <f>[1]!Olekuvorrand(E112,E110,E118,E116,E117,E120,E121)</f>
        <v>#VALUE!</v>
      </c>
    </row>
  </sheetData>
  <mergeCells count="46">
    <mergeCell ref="B70:B73"/>
    <mergeCell ref="B74:B77"/>
    <mergeCell ref="B78:B81"/>
    <mergeCell ref="B82:B85"/>
    <mergeCell ref="B26:B29"/>
    <mergeCell ref="B34:B37"/>
    <mergeCell ref="B38:B41"/>
    <mergeCell ref="B58:B61"/>
    <mergeCell ref="B62:B65"/>
    <mergeCell ref="B66:B69"/>
    <mergeCell ref="B30:B33"/>
    <mergeCell ref="B42:B45"/>
    <mergeCell ref="B46:B49"/>
    <mergeCell ref="B50:B53"/>
    <mergeCell ref="B54:B57"/>
    <mergeCell ref="A26:A27"/>
    <mergeCell ref="A30:A32"/>
    <mergeCell ref="A34:A36"/>
    <mergeCell ref="A46:A48"/>
    <mergeCell ref="A38:A40"/>
    <mergeCell ref="A42:A44"/>
    <mergeCell ref="A102:A104"/>
    <mergeCell ref="A94:A96"/>
    <mergeCell ref="A98:A100"/>
    <mergeCell ref="A50:A52"/>
    <mergeCell ref="A54:A56"/>
    <mergeCell ref="A78:A80"/>
    <mergeCell ref="A82:A84"/>
    <mergeCell ref="A86:A88"/>
    <mergeCell ref="A90:A92"/>
    <mergeCell ref="A70:A72"/>
    <mergeCell ref="A74:A76"/>
    <mergeCell ref="A58:A60"/>
    <mergeCell ref="A62:A64"/>
    <mergeCell ref="A66:A68"/>
    <mergeCell ref="B86:B89"/>
    <mergeCell ref="B90:B93"/>
    <mergeCell ref="B94:B97"/>
    <mergeCell ref="B98:B101"/>
    <mergeCell ref="B102:B105"/>
    <mergeCell ref="A1:B1"/>
    <mergeCell ref="A2:B2"/>
    <mergeCell ref="C2:O2"/>
    <mergeCell ref="C1:O1"/>
    <mergeCell ref="P2:R2"/>
    <mergeCell ref="P1:R1"/>
  </mergeCells>
  <phoneticPr fontId="0" type="noConversion"/>
  <conditionalFormatting sqref="D17:R17 D22:R24">
    <cfRule type="cellIs" dxfId="4" priority="1" stopIfTrue="1" operator="greaterThan">
      <formula>SMax</formula>
    </cfRule>
  </conditionalFormatting>
  <pageMargins left="0.59055118110236227" right="0.19685039370078741" top="0.86614173228346458" bottom="0.19685039370078741" header="0.51181102362204722" footer="0.15748031496062992"/>
  <pageSetup paperSize="9" scale="75" fitToHeight="0" orientation="landscape" r:id="rId1"/>
  <headerFooter alignWithMargins="0"/>
  <rowBreaks count="1" manualBreakCount="1">
    <brk id="4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108"/>
  <sheetViews>
    <sheetView view="pageBreakPreview" topLeftCell="A54" zoomScale="60" zoomScaleNormal="100" workbookViewId="0">
      <selection activeCell="C29" sqref="C29:C108"/>
    </sheetView>
  </sheetViews>
  <sheetFormatPr defaultRowHeight="12.75" x14ac:dyDescent="0.2"/>
  <cols>
    <col min="1" max="1" width="3.5703125" customWidth="1"/>
    <col min="2" max="3" width="18.5703125" customWidth="1"/>
    <col min="4" max="4" width="8.7109375" customWidth="1"/>
    <col min="5" max="5" width="9.42578125" customWidth="1"/>
    <col min="6" max="6" width="8.7109375" customWidth="1"/>
  </cols>
  <sheetData>
    <row r="1" spans="1:23" ht="32.25" customHeight="1" x14ac:dyDescent="0.2">
      <c r="A1" s="166"/>
      <c r="B1" s="167"/>
      <c r="C1" s="184" t="str">
        <f>Köide</f>
        <v>330/110kV Tartu-Sindi õhuliini ehitus
II ehitusetapp, Puhja - Viljandi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182" t="s">
        <v>229</v>
      </c>
      <c r="Q1" s="182"/>
      <c r="R1" s="183"/>
    </row>
    <row r="2" spans="1:23" ht="27" customHeight="1" thickBot="1" x14ac:dyDescent="0.25">
      <c r="A2" s="168"/>
      <c r="B2" s="175"/>
      <c r="C2" s="176" t="s">
        <v>108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  <c r="P2" s="177"/>
      <c r="Q2" s="177"/>
      <c r="R2" s="178"/>
    </row>
    <row r="3" spans="1:23" s="59" customFormat="1" ht="25.5" customHeight="1" x14ac:dyDescent="0.2">
      <c r="B3" s="84" t="s">
        <v>11</v>
      </c>
      <c r="C3" s="84"/>
      <c r="D3" s="81" t="str">
        <f>Visangud!D2</f>
        <v>103Y- 109Y</v>
      </c>
      <c r="E3" s="81" t="str">
        <f>Visangud!E2</f>
        <v>109Y- 117Y</v>
      </c>
      <c r="F3" s="81" t="str">
        <f>Visangud!F2</f>
        <v>117Y- 118Y</v>
      </c>
      <c r="G3" s="81" t="str">
        <f>Visangud!G2</f>
        <v>118Y- 121Y</v>
      </c>
      <c r="H3" s="81" t="str">
        <f>Visangud!H2</f>
        <v>121Y- 126Y</v>
      </c>
      <c r="I3" s="81" t="str">
        <f>Visangud!I2</f>
        <v>126Y- 128Y</v>
      </c>
      <c r="J3" s="81" t="str">
        <f>Visangud!J2</f>
        <v>128Y- 133Y</v>
      </c>
      <c r="K3" s="81" t="str">
        <f>Visangud!K2</f>
        <v>133Y- 137Y</v>
      </c>
      <c r="L3" s="81" t="str">
        <f>Visangud!L2</f>
        <v>137Y- 144Y</v>
      </c>
      <c r="M3" s="81" t="str">
        <f>Visangud!M2</f>
        <v>144Y- 148Y</v>
      </c>
      <c r="N3" s="81" t="str">
        <f>Visangud!N2</f>
        <v>148Y- 151Y</v>
      </c>
      <c r="O3" s="81" t="str">
        <f>Visangud!O2</f>
        <v>151Y- 154Y</v>
      </c>
      <c r="P3" s="81" t="str">
        <f>Visangud!P2</f>
        <v>154Y- 156Y</v>
      </c>
      <c r="Q3" s="81" t="str">
        <f>Visangud!Q2</f>
        <v>156Y- 164Y</v>
      </c>
      <c r="R3" s="81" t="str">
        <f>Visangud!R2</f>
        <v>164Y - L507 165</v>
      </c>
      <c r="S3" s="80"/>
      <c r="T3" s="80"/>
      <c r="U3" s="80"/>
      <c r="V3" s="80"/>
      <c r="W3" s="80"/>
    </row>
    <row r="4" spans="1:23" x14ac:dyDescent="0.2">
      <c r="B4" s="1" t="s">
        <v>103</v>
      </c>
      <c r="D4" s="98">
        <f>Visangud!D14</f>
        <v>447.20458836298803</v>
      </c>
      <c r="E4" s="98">
        <f>Visangud!E14</f>
        <v>443.42681236767572</v>
      </c>
      <c r="F4" s="98">
        <f>Visangud!F14</f>
        <v>440.31887592980098</v>
      </c>
      <c r="G4" s="98">
        <f>Visangud!G14</f>
        <v>352.77649774332502</v>
      </c>
      <c r="H4" s="98">
        <f>Visangud!H14</f>
        <v>429.81699666990465</v>
      </c>
      <c r="I4" s="98">
        <f>Visangud!I14</f>
        <v>421.89254548697357</v>
      </c>
      <c r="J4" s="98">
        <f>Visangud!J14</f>
        <v>408.37030439381806</v>
      </c>
      <c r="K4" s="98">
        <f>Visangud!K14</f>
        <v>469.49775693170682</v>
      </c>
      <c r="L4" s="98">
        <f>Visangud!L14</f>
        <v>408.56484089595034</v>
      </c>
      <c r="M4" s="98">
        <f>Visangud!M14</f>
        <v>466.6264206472535</v>
      </c>
      <c r="N4" s="98">
        <f>Visangud!N14</f>
        <v>461.53149095186666</v>
      </c>
      <c r="O4" s="98">
        <f>Visangud!O14</f>
        <v>407.59018580213103</v>
      </c>
      <c r="P4" s="98">
        <f>Visangud!P14</f>
        <v>360.03370480776539</v>
      </c>
      <c r="Q4" s="98">
        <f>Visangud!Q14</f>
        <v>372.01845882629567</v>
      </c>
      <c r="R4" s="98">
        <f>Visangud!R14</f>
        <v>426.99285708293951</v>
      </c>
    </row>
    <row r="5" spans="1:23" s="44" customFormat="1" ht="26.25" customHeight="1" x14ac:dyDescent="0.2">
      <c r="B5" s="43" t="s">
        <v>63</v>
      </c>
      <c r="D5" s="60" t="str">
        <f>Visangud!D7</f>
        <v>9,9-S1A - 19</v>
      </c>
      <c r="E5" s="60" t="str">
        <f>Visangud!E7</f>
        <v>9,9-S1A - 19</v>
      </c>
      <c r="F5" s="60" t="str">
        <f>Visangud!F7</f>
        <v>9,9-S1A - 19</v>
      </c>
      <c r="G5" s="60" t="str">
        <f>Visangud!G7</f>
        <v>9,9-S1A - 19</v>
      </c>
      <c r="H5" s="60" t="str">
        <f>Visangud!H7</f>
        <v>9,9-S1A - 19</v>
      </c>
      <c r="I5" s="60" t="str">
        <f>Visangud!I7</f>
        <v>9,9-S1A - 19</v>
      </c>
      <c r="J5" s="60" t="str">
        <f>Visangud!J7</f>
        <v>9,9-S1A - 19</v>
      </c>
      <c r="K5" s="60" t="str">
        <f>Visangud!K7</f>
        <v>9,9-S1A - 19</v>
      </c>
      <c r="L5" s="60" t="str">
        <f>Visangud!L7</f>
        <v>9,9-S1A - 19</v>
      </c>
      <c r="M5" s="60" t="str">
        <f>Visangud!M7</f>
        <v>9,9-S1A - 19</v>
      </c>
      <c r="N5" s="60" t="str">
        <f>Visangud!N7</f>
        <v>9,9-S1A - 19</v>
      </c>
      <c r="O5" s="60" t="str">
        <f>Visangud!O7</f>
        <v>9,9-S1A - 19</v>
      </c>
      <c r="P5" s="60" t="str">
        <f>Visangud!P7</f>
        <v>9,9-S1A - 19</v>
      </c>
      <c r="Q5" s="60" t="str">
        <f>Visangud!Q7</f>
        <v>9,9-S1A - 19</v>
      </c>
      <c r="R5" s="60" t="str">
        <f>Visangud!R7</f>
        <v>9,9-S1A - 19</v>
      </c>
    </row>
    <row r="6" spans="1:23" x14ac:dyDescent="0.2">
      <c r="B6" s="1" t="s">
        <v>38</v>
      </c>
      <c r="D6" s="49">
        <f>Visangud!D10</f>
        <v>11.7</v>
      </c>
      <c r="E6" s="49">
        <f>Visangud!E10</f>
        <v>11.5</v>
      </c>
      <c r="F6" s="49">
        <f>Visangud!F10</f>
        <v>11.3</v>
      </c>
      <c r="G6" s="49">
        <f>Visangud!G10</f>
        <v>6.9</v>
      </c>
      <c r="H6" s="49">
        <f>Visangud!H10</f>
        <v>10.7</v>
      </c>
      <c r="I6" s="49">
        <f>Visangud!I10</f>
        <v>10.3</v>
      </c>
      <c r="J6" s="49">
        <f>Visangud!J10</f>
        <v>9.5</v>
      </c>
      <c r="K6" s="49">
        <f>Visangud!K10</f>
        <v>14</v>
      </c>
      <c r="L6" s="49">
        <f>Visangud!L10</f>
        <v>10</v>
      </c>
      <c r="M6" s="49">
        <f>Visangud!M10</f>
        <v>12.8</v>
      </c>
      <c r="N6" s="49">
        <f>Visangud!N10</f>
        <v>12.5</v>
      </c>
      <c r="O6" s="49">
        <f>Visangud!O10</f>
        <v>9.5</v>
      </c>
      <c r="P6" s="49">
        <f>Visangud!P10</f>
        <v>7.2</v>
      </c>
      <c r="Q6" s="49">
        <f>Visangud!Q10</f>
        <v>7.7</v>
      </c>
      <c r="R6" s="49">
        <f>Visangud!R10</f>
        <v>10.5</v>
      </c>
      <c r="S6" s="3"/>
      <c r="T6" s="3"/>
      <c r="U6" s="3"/>
      <c r="V6" s="3"/>
      <c r="W6" s="3"/>
    </row>
    <row r="7" spans="1:23" x14ac:dyDescent="0.2">
      <c r="B7" s="1" t="s">
        <v>39</v>
      </c>
      <c r="C7" s="1"/>
      <c r="D7" s="49">
        <f>[1]!pingsus(D6,D4,D11,0)</f>
        <v>114.31163457404554</v>
      </c>
      <c r="E7" s="49">
        <f>[1]!pingsus(E6,E4,E11,0)</f>
        <v>114.34307151163965</v>
      </c>
      <c r="F7" s="49">
        <f>[1]!pingsus(F6,F4,F11,0)</f>
        <v>114.7413508711777</v>
      </c>
      <c r="G7" s="49">
        <f>[1]!pingsus(G6,G4,G11,0)</f>
        <v>120.61851936163897</v>
      </c>
      <c r="H7" s="49">
        <f>[1]!pingsus(H6,H4,H11,0)</f>
        <v>115.46415664146053</v>
      </c>
      <c r="I7" s="49">
        <f>[1]!pingsus(I6,I4,I11,0)</f>
        <v>115.56605117299848</v>
      </c>
      <c r="J7" s="49">
        <f>[1]!pingsus(J6,J4,J11,0)</f>
        <v>117.39470190555826</v>
      </c>
      <c r="K7" s="49">
        <f>[1]!pingsus(K6,K4,K11,0)</f>
        <v>105.29380081579346</v>
      </c>
      <c r="L7" s="49">
        <f>[1]!pingsus(L6,L4,L11,0)</f>
        <v>111.63124703842284</v>
      </c>
      <c r="M7" s="49">
        <f>[1]!pingsus(M6,M4,M11,0)</f>
        <v>113.76075761586537</v>
      </c>
      <c r="N7" s="49">
        <f>[1]!pingsus(N6,N4,N11,0)</f>
        <v>113.96105467003534</v>
      </c>
      <c r="O7" s="49">
        <f>[1]!pingsus(O6,O4,O11,0)</f>
        <v>116.94660706024395</v>
      </c>
      <c r="P7" s="49">
        <f>[1]!pingsus(P6,P4,P11,0)</f>
        <v>120.39754114534504</v>
      </c>
      <c r="Q7" s="49">
        <f>[1]!pingsus(Q6,Q4,Q11,0)</f>
        <v>120.19933041153952</v>
      </c>
      <c r="R7" s="49">
        <f>[1]!pingsus(R6,R4,R11,0)</f>
        <v>116.12232321419118</v>
      </c>
      <c r="S7" s="49"/>
      <c r="T7" s="49"/>
      <c r="U7" s="49"/>
      <c r="V7" s="49"/>
      <c r="W7" s="49"/>
    </row>
    <row r="8" spans="1:23" ht="13.5" thickBot="1" x14ac:dyDescent="0.25">
      <c r="B8" s="1" t="s">
        <v>80</v>
      </c>
      <c r="C8" s="1"/>
      <c r="D8" s="46">
        <f>[1]!Olekuvorrand(D4,D5,D7,15,D11,5,D11)</f>
        <v>117.62088537216187</v>
      </c>
      <c r="E8" s="46">
        <f>[1]!Olekuvorrand(E4,E5,E7,15,E11,5,E11)</f>
        <v>117.70409345626831</v>
      </c>
      <c r="F8" s="46">
        <f>[1]!Olekuvorrand(F4,F5,F7,15,F11,5,F11)</f>
        <v>118.17437410354614</v>
      </c>
      <c r="G8" s="46">
        <f>[1]!Olekuvorrand(G4,G5,G7,15,G11,5,G11)</f>
        <v>126.20753049850464</v>
      </c>
      <c r="H8" s="46">
        <f>[1]!Olekuvorrand(H4,H5,H7,15,H11,5,H11)</f>
        <v>119.10158395767212</v>
      </c>
      <c r="I8" s="46">
        <f>[1]!Olekuvorrand(I4,I5,I7,15,I11,5,I11)</f>
        <v>119.32998895645142</v>
      </c>
      <c r="J8" s="46">
        <f>[1]!Olekuvorrand(J4,J5,J7,15,J11,5,J11)</f>
        <v>121.53154611587524</v>
      </c>
      <c r="K8" s="46">
        <f>[1]!Olekuvorrand(K4,K5,K7,15,K11,5,K11)</f>
        <v>107.73366689682007</v>
      </c>
      <c r="L8" s="46">
        <f>[1]!Olekuvorrand(L4,L5,L7,15,L11,5,L11)</f>
        <v>115.27401208877563</v>
      </c>
      <c r="M8" s="46">
        <f>[1]!Olekuvorrand(M4,M5,M7,15,M11,5,M11)</f>
        <v>116.79273843765259</v>
      </c>
      <c r="N8" s="46">
        <f>[1]!Olekuvorrand(N4,N5,N7,15,N11,5,N11)</f>
        <v>117.06680059432983</v>
      </c>
      <c r="O8" s="46">
        <f>[1]!Olekuvorrand(O4,O5,O7,15,O11,5,O11)</f>
        <v>121.05768918991089</v>
      </c>
      <c r="P8" s="46">
        <f>[1]!Olekuvorrand(P4,P5,P7,15,P11,5,P11)</f>
        <v>125.78946352005005</v>
      </c>
      <c r="Q8" s="46">
        <f>[1]!Olekuvorrand(Q4,Q5,Q7,15,Q11,5,Q11)</f>
        <v>125.29999017715454</v>
      </c>
      <c r="R8" s="46">
        <f>[1]!Olekuvorrand(R4,R5,R7,15,R11,5,R11)</f>
        <v>119.8546290397644</v>
      </c>
      <c r="S8" s="46"/>
      <c r="T8" s="46"/>
      <c r="U8" s="46"/>
      <c r="V8" s="46"/>
      <c r="W8" s="46"/>
    </row>
    <row r="9" spans="1:23" ht="13.5" thickTop="1" x14ac:dyDescent="0.2">
      <c r="B9" s="25" t="s">
        <v>12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</row>
    <row r="10" spans="1:23" x14ac:dyDescent="0.2">
      <c r="B10" s="1" t="s">
        <v>223</v>
      </c>
    </row>
    <row r="11" spans="1:23" x14ac:dyDescent="0.2">
      <c r="B11" s="20" t="s">
        <v>2</v>
      </c>
      <c r="C11" s="1"/>
      <c r="D11" s="2">
        <f>[1]!juhe(D5,6)</f>
        <v>5.3499999999999999E-2</v>
      </c>
      <c r="E11" s="2">
        <f>[1]!juhe(E5,6)</f>
        <v>5.3499999999999999E-2</v>
      </c>
      <c r="F11" s="2">
        <f>[1]!juhe(F5,6)</f>
        <v>5.3499999999999999E-2</v>
      </c>
      <c r="G11" s="2">
        <f>[1]!juhe(G5,6)</f>
        <v>5.3499999999999999E-2</v>
      </c>
      <c r="H11" s="2">
        <f>[1]!juhe(H5,6)</f>
        <v>5.3499999999999999E-2</v>
      </c>
      <c r="I11" s="2">
        <f>[1]!juhe(I5,6)</f>
        <v>5.3499999999999999E-2</v>
      </c>
      <c r="J11" s="2">
        <f>[1]!juhe(J5,6)</f>
        <v>5.3499999999999999E-2</v>
      </c>
      <c r="K11" s="2">
        <f>[1]!juhe(K5,6)</f>
        <v>5.3499999999999999E-2</v>
      </c>
      <c r="L11" s="2">
        <f>[1]!juhe(L5,6)</f>
        <v>5.3499999999999999E-2</v>
      </c>
      <c r="M11" s="2">
        <f>[1]!juhe(M5,6)</f>
        <v>5.3499999999999999E-2</v>
      </c>
      <c r="N11" s="2">
        <f>[1]!juhe(N5,6)</f>
        <v>5.3499999999999999E-2</v>
      </c>
      <c r="O11" s="2">
        <f>[1]!juhe(O5,6)</f>
        <v>5.3499999999999999E-2</v>
      </c>
      <c r="P11" s="2">
        <f>[1]!juhe(P5,6)</f>
        <v>5.3499999999999999E-2</v>
      </c>
      <c r="Q11" s="2">
        <f>[1]!juhe(Q5,6)</f>
        <v>5.3499999999999999E-2</v>
      </c>
      <c r="R11" s="2">
        <f>[1]!juhe(R5,6)</f>
        <v>5.3499999999999999E-2</v>
      </c>
      <c r="S11" s="2"/>
      <c r="T11" s="2"/>
      <c r="U11" s="2"/>
      <c r="V11" s="2"/>
      <c r="W11" s="2"/>
    </row>
    <row r="12" spans="1:23" x14ac:dyDescent="0.2">
      <c r="B12" s="20" t="s">
        <v>5</v>
      </c>
      <c r="C12" s="20"/>
      <c r="D12" s="5">
        <f>[1]!Tuulekoormus_en(D$5,Qt,ht,zo,D4,JaideJ,0)</f>
        <v>0.11373865458471244</v>
      </c>
      <c r="E12" s="5">
        <f>[1]!Tuulekoormus_en(E$5,Qt,ht,zo,E4,JaideJ,0)</f>
        <v>0.11383761138851542</v>
      </c>
      <c r="F12" s="5">
        <f>[1]!Tuulekoormus_en(F$5,Qt,ht,zo,F4,JaideJ,0)</f>
        <v>0.11391965626506445</v>
      </c>
      <c r="G12" s="5">
        <f>[1]!Tuulekoormus_en(G$5,Qt,ht,zo,G4,JaideJ,0)</f>
        <v>0.11650531354347729</v>
      </c>
      <c r="H12" s="5">
        <f>[1]!Tuulekoormus_en(H$5,Qt,ht,zo,H4,JaideJ,0)</f>
        <v>0.11420123891477338</v>
      </c>
      <c r="I12" s="5">
        <f>[1]!Tuulekoormus_en(I$5,Qt,ht,zo,I4,JaideJ,0)</f>
        <v>0.11441830654702126</v>
      </c>
      <c r="J12" s="5">
        <f>[1]!Tuulekoormus_en(J$5,Qt,ht,zo,J4,JaideJ,0)</f>
        <v>0.11479830018753416</v>
      </c>
      <c r="K12" s="5">
        <f>[1]!Tuulekoormus_en(K$5,Qt,ht,zo,K4,JaideJ,0)</f>
        <v>0.11317119628868227</v>
      </c>
      <c r="L12" s="5">
        <f>[1]!Tuulekoormus_en(L$5,Qt,ht,zo,L4,JaideJ,0)</f>
        <v>0.11479274474850043</v>
      </c>
      <c r="M12" s="5">
        <f>[1]!Tuulekoormus_en(M$5,Qt,ht,zo,M4,JaideJ,0)</f>
        <v>0.11324275406135766</v>
      </c>
      <c r="N12" s="5">
        <f>[1]!Tuulekoormus_en(N$5,Qt,ht,zo,N4,JaideJ,0)</f>
        <v>0.11337081761295033</v>
      </c>
      <c r="O12" s="5">
        <f>[1]!Tuulekoormus_en(O$5,Qt,ht,zo,O4,JaideJ,0)</f>
        <v>0.11482060489262139</v>
      </c>
      <c r="P12" s="5">
        <f>[1]!Tuulekoormus_en(P$5,Qt,ht,zo,P4,JaideJ,0)</f>
        <v>0.11626778518416618</v>
      </c>
      <c r="Q12" s="5">
        <f>[1]!Tuulekoormus_en(Q$5,Qt,ht,zo,Q4,JaideJ,0)</f>
        <v>0.1158858138633902</v>
      </c>
      <c r="R12" s="5">
        <f>[1]!Tuulekoormus_en(R$5,Qt,ht,zo,R4,JaideJ,0)</f>
        <v>0.11427813569116094</v>
      </c>
      <c r="S12" s="5"/>
      <c r="T12" s="5"/>
      <c r="U12" s="5"/>
      <c r="V12" s="5"/>
      <c r="W12" s="5"/>
    </row>
    <row r="13" spans="1:23" x14ac:dyDescent="0.2">
      <c r="B13" s="7" t="s">
        <v>0</v>
      </c>
      <c r="C13" s="20"/>
      <c r="D13" s="5">
        <f>[1]!Jaitekoormus_EN(D$5,JaideJ,hj)</f>
        <v>9.4580679340199161E-2</v>
      </c>
      <c r="E13" s="5">
        <f>[1]!Jaitekoormus_EN(E$5,JaideJ,hj)</f>
        <v>9.4580679340199161E-2</v>
      </c>
      <c r="F13" s="5">
        <f>[1]!Jaitekoormus_EN(F$5,JaideJ,hj)</f>
        <v>9.4580679340199161E-2</v>
      </c>
      <c r="G13" s="5">
        <f>[1]!Jaitekoormus_EN(G$5,JaideJ,hj)</f>
        <v>9.4580679340199161E-2</v>
      </c>
      <c r="H13" s="5">
        <f>[1]!Jaitekoormus_EN(H$5,JaideJ,hj)</f>
        <v>9.4580679340199161E-2</v>
      </c>
      <c r="I13" s="5">
        <f>[1]!Jaitekoormus_EN(I$5,JaideJ,hj)</f>
        <v>9.4580679340199161E-2</v>
      </c>
      <c r="J13" s="5">
        <f>[1]!Jaitekoormus_EN(J$5,JaideJ,hj)</f>
        <v>9.4580679340199161E-2</v>
      </c>
      <c r="K13" s="5">
        <f>[1]!Jaitekoormus_EN(K$5,JaideJ,hj)</f>
        <v>9.4580679340199161E-2</v>
      </c>
      <c r="L13" s="5">
        <f>[1]!Jaitekoormus_EN(L$5,JaideJ,hj)</f>
        <v>9.4580679340199161E-2</v>
      </c>
      <c r="M13" s="5">
        <f>[1]!Jaitekoormus_EN(M$5,JaideJ,hj)</f>
        <v>9.4580679340199161E-2</v>
      </c>
      <c r="N13" s="5">
        <f>[1]!Jaitekoormus_EN(N$5,JaideJ,hj)</f>
        <v>9.4580679340199161E-2</v>
      </c>
      <c r="O13" s="5">
        <f>[1]!Jaitekoormus_EN(O$5,JaideJ,hj)</f>
        <v>9.4580679340199161E-2</v>
      </c>
      <c r="P13" s="5">
        <f>[1]!Jaitekoormus_EN(P$5,JaideJ,hj)</f>
        <v>9.4580679340199161E-2</v>
      </c>
      <c r="Q13" s="5">
        <f>[1]!Jaitekoormus_EN(Q$5,JaideJ,hj)</f>
        <v>9.4580679340199161E-2</v>
      </c>
      <c r="R13" s="5">
        <f>[1]!Jaitekoormus_EN(R$5,JaideJ,hj)</f>
        <v>9.4580679340199161E-2</v>
      </c>
      <c r="S13" s="5"/>
      <c r="T13" s="5"/>
      <c r="U13" s="5"/>
      <c r="V13" s="5"/>
      <c r="W13" s="5"/>
    </row>
    <row r="14" spans="1:23" s="57" customFormat="1" x14ac:dyDescent="0.2">
      <c r="B14" s="57" t="s">
        <v>83</v>
      </c>
      <c r="C14" s="7"/>
      <c r="D14" s="68">
        <f>[1]!juhe(D5,8)</f>
        <v>650</v>
      </c>
      <c r="E14" s="68">
        <f>[1]!juhe(E5,8)</f>
        <v>650</v>
      </c>
      <c r="F14" s="68">
        <f>[1]!juhe(F5,8)</f>
        <v>650</v>
      </c>
      <c r="G14" s="68">
        <f>[1]!juhe(G5,8)</f>
        <v>650</v>
      </c>
      <c r="H14" s="68">
        <f>[1]!juhe(H5,8)</f>
        <v>650</v>
      </c>
      <c r="I14" s="68">
        <f>[1]!juhe(I5,8)</f>
        <v>650</v>
      </c>
      <c r="J14" s="68">
        <f>[1]!juhe(J5,8)</f>
        <v>650</v>
      </c>
      <c r="K14" s="68">
        <f>[1]!juhe(K5,8)</f>
        <v>650</v>
      </c>
      <c r="L14" s="68">
        <f>[1]!juhe(L5,8)</f>
        <v>650</v>
      </c>
      <c r="M14" s="68">
        <f>[1]!juhe(M5,8)</f>
        <v>650</v>
      </c>
      <c r="N14" s="68">
        <f>[1]!juhe(N5,8)</f>
        <v>650</v>
      </c>
      <c r="O14" s="68">
        <f>[1]!juhe(O5,8)</f>
        <v>650</v>
      </c>
      <c r="P14" s="68">
        <f>[1]!juhe(P5,8)</f>
        <v>650</v>
      </c>
      <c r="Q14" s="68">
        <f>[1]!juhe(Q5,8)</f>
        <v>650</v>
      </c>
      <c r="R14" s="68">
        <f>[1]!juhe(R5,8)</f>
        <v>650</v>
      </c>
      <c r="S14" s="68"/>
      <c r="T14" s="68"/>
      <c r="U14" s="68"/>
      <c r="V14" s="68"/>
      <c r="W14" s="68"/>
    </row>
    <row r="15" spans="1:23" x14ac:dyDescent="0.2">
      <c r="B15" s="1"/>
      <c r="C15" s="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x14ac:dyDescent="0.2">
      <c r="B16" s="1" t="s">
        <v>9</v>
      </c>
      <c r="C16" s="1"/>
    </row>
    <row r="17" spans="1:23" x14ac:dyDescent="0.2">
      <c r="B17" s="2" t="s">
        <v>10</v>
      </c>
      <c r="C17" s="2"/>
      <c r="D17" s="21">
        <f t="shared" ref="D17:H17" si="0">(MATCH(D20,D29:D107,0)+2)/4</f>
        <v>6</v>
      </c>
      <c r="E17" s="21">
        <f t="shared" si="0"/>
        <v>6</v>
      </c>
      <c r="F17" s="21">
        <f t="shared" si="0"/>
        <v>6</v>
      </c>
      <c r="G17" s="21">
        <f t="shared" si="0"/>
        <v>6</v>
      </c>
      <c r="H17" s="21">
        <f t="shared" si="0"/>
        <v>6</v>
      </c>
      <c r="I17" s="21">
        <f t="shared" ref="I17:K17" si="1">(MATCH(I20,I29:I107,0)+2)/4</f>
        <v>6</v>
      </c>
      <c r="J17" s="21">
        <f t="shared" si="1"/>
        <v>6</v>
      </c>
      <c r="K17" s="21">
        <f t="shared" si="1"/>
        <v>6</v>
      </c>
      <c r="L17" s="21">
        <f t="shared" ref="L17:Q17" si="2">(MATCH(L20,L29:L107,0)+2)/4</f>
        <v>6</v>
      </c>
      <c r="M17" s="21">
        <f t="shared" si="2"/>
        <v>6</v>
      </c>
      <c r="N17" s="21">
        <f t="shared" si="2"/>
        <v>6</v>
      </c>
      <c r="O17" s="21">
        <f t="shared" si="2"/>
        <v>6</v>
      </c>
      <c r="P17" s="21">
        <f t="shared" si="2"/>
        <v>6</v>
      </c>
      <c r="Q17" s="21">
        <f t="shared" si="2"/>
        <v>6</v>
      </c>
      <c r="R17" s="21">
        <f t="shared" ref="R17" si="3">(MATCH(R20,R29:R107,0)+2)/4</f>
        <v>6</v>
      </c>
      <c r="S17" s="21"/>
      <c r="T17" s="21"/>
      <c r="U17" s="21"/>
      <c r="V17" s="21"/>
      <c r="W17" s="21"/>
    </row>
    <row r="18" spans="1:23" x14ac:dyDescent="0.2">
      <c r="B18" s="2" t="s">
        <v>21</v>
      </c>
      <c r="C18" s="2"/>
      <c r="D18" s="5">
        <f t="shared" ref="D18:H18" si="4">INDEX(D29:D107,4*D17-3,1)</f>
        <v>0.27519700122393526</v>
      </c>
      <c r="E18" s="5">
        <f t="shared" si="4"/>
        <v>0.2754127303316522</v>
      </c>
      <c r="F18" s="5">
        <f t="shared" si="4"/>
        <v>0.27559160494055301</v>
      </c>
      <c r="G18" s="5">
        <f t="shared" si="4"/>
        <v>0.28123525820129347</v>
      </c>
      <c r="H18" s="5">
        <f t="shared" si="4"/>
        <v>0.27620560930479804</v>
      </c>
      <c r="I18" s="5">
        <f t="shared" ref="I18" si="5">INDEX(I29:I107,4*I17-3,1)</f>
        <v>0.27667903726052695</v>
      </c>
      <c r="J18" s="5">
        <f t="shared" ref="J18" si="6">INDEX(J29:J107,4*J17-3,1)</f>
        <v>0.27750802103631628</v>
      </c>
      <c r="K18" s="5">
        <f t="shared" ref="K18:Q18" si="7">INDEX(K29:K107,4*K17-3,1)</f>
        <v>0.2739602835877486</v>
      </c>
      <c r="L18" s="5">
        <f t="shared" si="7"/>
        <v>0.27749589951072379</v>
      </c>
      <c r="M18" s="5">
        <f t="shared" si="7"/>
        <v>0.27411620251184238</v>
      </c>
      <c r="N18" s="5">
        <f t="shared" si="7"/>
        <v>0.27439526775338363</v>
      </c>
      <c r="O18" s="5">
        <f t="shared" si="7"/>
        <v>0.27755668870175626</v>
      </c>
      <c r="P18" s="5">
        <f t="shared" si="7"/>
        <v>0.28071630358730165</v>
      </c>
      <c r="Q18" s="5">
        <f t="shared" si="7"/>
        <v>0.27988198020220417</v>
      </c>
      <c r="R18" s="5">
        <f t="shared" ref="R18" si="8">INDEX(R29:R107,4*R17-3,1)</f>
        <v>0.27637331230182688</v>
      </c>
      <c r="S18" s="5"/>
      <c r="T18" s="5"/>
      <c r="U18" s="5"/>
      <c r="V18" s="5"/>
      <c r="W18" s="5"/>
    </row>
    <row r="19" spans="1:23" x14ac:dyDescent="0.2">
      <c r="B19" s="2" t="s">
        <v>20</v>
      </c>
      <c r="C19" s="2"/>
      <c r="D19" s="2">
        <f>VLOOKUP(D17,Lähteandmed!$A24:$G81,3)</f>
        <v>-5</v>
      </c>
      <c r="E19" s="2">
        <f>VLOOKUP(E17,Lähteandmed!$A24:$G81,3)</f>
        <v>-5</v>
      </c>
      <c r="F19" s="2">
        <f>VLOOKUP(F17,Lähteandmed!$A24:$G81,3)</f>
        <v>-5</v>
      </c>
      <c r="G19" s="2">
        <f>VLOOKUP(G17,Lähteandmed!$A24:$G81,3)</f>
        <v>-5</v>
      </c>
      <c r="H19" s="2">
        <f>VLOOKUP(H17,Lähteandmed!$A24:$G81,3)</f>
        <v>-5</v>
      </c>
      <c r="I19" s="2">
        <f>VLOOKUP(I17,Lähteandmed!$A24:$G81,3)</f>
        <v>-5</v>
      </c>
      <c r="J19" s="2">
        <f>VLOOKUP(J17,Lähteandmed!$A24:$G81,3)</f>
        <v>-5</v>
      </c>
      <c r="K19" s="2">
        <f>VLOOKUP(K17,Lähteandmed!$A24:$G81,3)</f>
        <v>-5</v>
      </c>
      <c r="L19" s="2">
        <f>VLOOKUP(L17,Lähteandmed!$A24:$G81,3)</f>
        <v>-5</v>
      </c>
      <c r="M19" s="2">
        <f>VLOOKUP(M17,Lähteandmed!$A24:$G81,3)</f>
        <v>-5</v>
      </c>
      <c r="N19" s="2">
        <f>VLOOKUP(N17,Lähteandmed!$A24:$G81,3)</f>
        <v>-5</v>
      </c>
      <c r="O19" s="2">
        <f>VLOOKUP(O17,Lähteandmed!$A24:$G81,3)</f>
        <v>-5</v>
      </c>
      <c r="P19" s="2">
        <f>VLOOKUP(P17,Lähteandmed!$A24:$G81,3)</f>
        <v>-5</v>
      </c>
      <c r="Q19" s="2">
        <f>VLOOKUP(Q17,Lähteandmed!$A24:$G81,3)</f>
        <v>-5</v>
      </c>
      <c r="R19" s="2">
        <f>VLOOKUP(R17,Lähteandmed!$A24:$G81,3)</f>
        <v>-5</v>
      </c>
      <c r="S19" s="2"/>
      <c r="T19" s="2"/>
      <c r="U19" s="2"/>
      <c r="V19" s="2"/>
      <c r="W19" s="2"/>
    </row>
    <row r="20" spans="1:23" ht="13.5" thickBot="1" x14ac:dyDescent="0.25">
      <c r="B20" s="23" t="s">
        <v>22</v>
      </c>
      <c r="C20" s="23"/>
      <c r="D20" s="24">
        <f>MAX(D30,D34,D38,D42,D46,D50,D54,D58,D62,D66,D70,D74,D78,D82,D86,D90,D94,D98,D102,D106)</f>
        <v>431.87826871871948</v>
      </c>
      <c r="E20" s="24">
        <f t="shared" ref="E20:H20" si="9">MAX(E30,E34,E38,E42,E46,E50,E54,E58,E62,E66,E70,E74,E78,E82,E86,E90,E94,E98,E102,E106)</f>
        <v>430.94021081924438</v>
      </c>
      <c r="F20" s="24">
        <f t="shared" si="9"/>
        <v>430.80240488052368</v>
      </c>
      <c r="G20" s="24">
        <f t="shared" si="9"/>
        <v>411.20189428329468</v>
      </c>
      <c r="H20" s="24">
        <f t="shared" si="9"/>
        <v>429.13836240768433</v>
      </c>
      <c r="I20" s="24">
        <f t="shared" ref="I20:K20" si="10">MAX(I30,I34,I38,I42,I46,I50,I54,I58,I62,I66,I70,I74,I78,I82,I86,I90,I94,I98,I102,I106)</f>
        <v>427.04278230667114</v>
      </c>
      <c r="J20" s="24">
        <f t="shared" si="10"/>
        <v>425.90099573135376</v>
      </c>
      <c r="K20" s="24">
        <f t="shared" si="10"/>
        <v>419.77888345718384</v>
      </c>
      <c r="L20" s="24">
        <f t="shared" ref="L20:Q20" si="11">MAX(L30,L34,L38,L42,L46,L50,L54,L58,L62,L66,L70,L74,L78,L82,L86,L90,L94,L98,L102,L106)</f>
        <v>416.67383909225464</v>
      </c>
      <c r="M20" s="24">
        <f t="shared" si="11"/>
        <v>435.76842546463013</v>
      </c>
      <c r="N20" s="24">
        <f t="shared" si="11"/>
        <v>434.88997220993042</v>
      </c>
      <c r="O20" s="24">
        <f t="shared" si="11"/>
        <v>424.96353387832642</v>
      </c>
      <c r="P20" s="24">
        <f t="shared" si="11"/>
        <v>413.67143392562866</v>
      </c>
      <c r="Q20" s="24">
        <f t="shared" si="11"/>
        <v>417.81240701675415</v>
      </c>
      <c r="R20" s="24">
        <f t="shared" ref="R20" si="12">MAX(R30,R34,R38,R42,R46,R50,R54,R58,R62,R66,R70,R74,R78,R82,R86,R90,R94,R98,R102,R106)</f>
        <v>429.42684888839722</v>
      </c>
      <c r="S20" s="24"/>
      <c r="T20" s="24"/>
      <c r="U20" s="24"/>
      <c r="V20" s="24"/>
      <c r="W20" s="24"/>
    </row>
    <row r="21" spans="1:23" ht="13.5" thickTop="1" x14ac:dyDescent="0.2">
      <c r="B21" s="1" t="s">
        <v>42</v>
      </c>
      <c r="C21" s="1"/>
    </row>
    <row r="22" spans="1:23" x14ac:dyDescent="0.2">
      <c r="B22" s="2" t="s">
        <v>10</v>
      </c>
      <c r="C22" s="2"/>
      <c r="D22" s="21">
        <f t="shared" ref="D22:H22" si="13">(MATCH(D25,D29:D107,0)+1)/4</f>
        <v>4</v>
      </c>
      <c r="E22" s="21">
        <f t="shared" si="13"/>
        <v>4</v>
      </c>
      <c r="F22" s="21">
        <f t="shared" si="13"/>
        <v>4</v>
      </c>
      <c r="G22" s="21">
        <f t="shared" si="13"/>
        <v>4</v>
      </c>
      <c r="H22" s="21">
        <f t="shared" si="13"/>
        <v>4</v>
      </c>
      <c r="I22" s="21">
        <f t="shared" ref="I22:K22" si="14">(MATCH(I25,I29:I107,0)+1)/4</f>
        <v>4</v>
      </c>
      <c r="J22" s="21">
        <f t="shared" si="14"/>
        <v>4</v>
      </c>
      <c r="K22" s="21">
        <f t="shared" si="14"/>
        <v>4</v>
      </c>
      <c r="L22" s="21">
        <f t="shared" ref="L22:Q22" si="15">(MATCH(L25,L29:L107,0)+1)/4</f>
        <v>4</v>
      </c>
      <c r="M22" s="21">
        <f t="shared" si="15"/>
        <v>4</v>
      </c>
      <c r="N22" s="21">
        <f t="shared" si="15"/>
        <v>4</v>
      </c>
      <c r="O22" s="21">
        <f t="shared" si="15"/>
        <v>4</v>
      </c>
      <c r="P22" s="21">
        <f t="shared" si="15"/>
        <v>4</v>
      </c>
      <c r="Q22" s="21">
        <f t="shared" si="15"/>
        <v>4</v>
      </c>
      <c r="R22" s="21">
        <f t="shared" ref="R22" si="16">(MATCH(R25,R29:R107,0)+1)/4</f>
        <v>4</v>
      </c>
      <c r="S22" s="21"/>
      <c r="T22" s="21"/>
      <c r="U22" s="21"/>
      <c r="V22" s="21"/>
      <c r="W22" s="21"/>
    </row>
    <row r="23" spans="1:23" x14ac:dyDescent="0.2">
      <c r="B23" s="2" t="s">
        <v>21</v>
      </c>
      <c r="C23" s="2"/>
      <c r="D23" s="5">
        <f t="shared" ref="D23:H23" si="17">INDEX(D29:D107,4*D22-3,1)</f>
        <v>0.18591295107627881</v>
      </c>
      <c r="E23" s="5">
        <f t="shared" si="17"/>
        <v>0.18591295107627881</v>
      </c>
      <c r="F23" s="5">
        <f t="shared" si="17"/>
        <v>0.18591295107627881</v>
      </c>
      <c r="G23" s="5">
        <f t="shared" si="17"/>
        <v>0.18591295107627881</v>
      </c>
      <c r="H23" s="5">
        <f t="shared" si="17"/>
        <v>0.18591295107627881</v>
      </c>
      <c r="I23" s="5">
        <f t="shared" ref="I23" si="18">INDEX(I29:I107,4*I22-3,1)</f>
        <v>0.18591295107627881</v>
      </c>
      <c r="J23" s="5">
        <f t="shared" ref="J23" si="19">INDEX(J29:J107,4*J22-3,1)</f>
        <v>0.18591295107627881</v>
      </c>
      <c r="K23" s="5">
        <f t="shared" ref="K23:Q23" si="20">INDEX(K29:K107,4*K22-3,1)</f>
        <v>0.18591295107627881</v>
      </c>
      <c r="L23" s="5">
        <f t="shared" si="20"/>
        <v>0.18591295107627881</v>
      </c>
      <c r="M23" s="5">
        <f t="shared" si="20"/>
        <v>0.18591295107627881</v>
      </c>
      <c r="N23" s="5">
        <f t="shared" si="20"/>
        <v>0.18591295107627881</v>
      </c>
      <c r="O23" s="5">
        <f t="shared" si="20"/>
        <v>0.18591295107627881</v>
      </c>
      <c r="P23" s="5">
        <f t="shared" si="20"/>
        <v>0.18591295107627881</v>
      </c>
      <c r="Q23" s="5">
        <f t="shared" si="20"/>
        <v>0.18591295107627881</v>
      </c>
      <c r="R23" s="5">
        <f t="shared" ref="R23" si="21">INDEX(R29:R107,4*R22-3,1)</f>
        <v>0.18591295107627881</v>
      </c>
      <c r="S23" s="5"/>
      <c r="T23" s="5"/>
      <c r="U23" s="5"/>
      <c r="V23" s="5"/>
      <c r="W23" s="5"/>
    </row>
    <row r="24" spans="1:23" x14ac:dyDescent="0.2">
      <c r="B24" s="2" t="s">
        <v>20</v>
      </c>
      <c r="C24" s="2"/>
      <c r="D24" s="2">
        <f>VLOOKUP(D22,Lähteandmed!$A29:$G86,3)</f>
        <v>-5</v>
      </c>
      <c r="E24" s="2">
        <f>VLOOKUP(E22,Lähteandmed!$A29:$G86,3)</f>
        <v>-5</v>
      </c>
      <c r="F24" s="2">
        <f>VLOOKUP(F22,Lähteandmed!$A29:$G86,3)</f>
        <v>-5</v>
      </c>
      <c r="G24" s="2">
        <f>VLOOKUP(G22,Lähteandmed!$A29:$G86,3)</f>
        <v>-5</v>
      </c>
      <c r="H24" s="2">
        <f>VLOOKUP(H22,Lähteandmed!$A29:$G86,3)</f>
        <v>-5</v>
      </c>
      <c r="I24" s="2">
        <f>VLOOKUP(I22,Lähteandmed!$A29:$G86,3)</f>
        <v>-5</v>
      </c>
      <c r="J24" s="2">
        <f>VLOOKUP(J22,Lähteandmed!$A29:$G86,3)</f>
        <v>-5</v>
      </c>
      <c r="K24" s="2">
        <f>VLOOKUP(K22,Lähteandmed!$A29:$G86,3)</f>
        <v>-5</v>
      </c>
      <c r="L24" s="2">
        <f>VLOOKUP(L22,Lähteandmed!$A29:$G86,3)</f>
        <v>-5</v>
      </c>
      <c r="M24" s="2">
        <f>VLOOKUP(M22,Lähteandmed!$A29:$G86,3)</f>
        <v>-5</v>
      </c>
      <c r="N24" s="2">
        <f>VLOOKUP(N22,Lähteandmed!$A29:$G86,3)</f>
        <v>-5</v>
      </c>
      <c r="O24" s="2">
        <f>VLOOKUP(O22,Lähteandmed!$A29:$G86,3)</f>
        <v>-5</v>
      </c>
      <c r="P24" s="2">
        <f>VLOOKUP(P22,Lähteandmed!$A29:$G86,3)</f>
        <v>-5</v>
      </c>
      <c r="Q24" s="2">
        <f>VLOOKUP(Q22,Lähteandmed!$A29:$G86,3)</f>
        <v>-5</v>
      </c>
      <c r="R24" s="2">
        <f>VLOOKUP(R22,Lähteandmed!$A29:$G86,3)</f>
        <v>-5</v>
      </c>
      <c r="S24" s="2"/>
      <c r="T24" s="2"/>
      <c r="U24" s="2"/>
      <c r="V24" s="2"/>
      <c r="W24" s="2"/>
    </row>
    <row r="25" spans="1:23" x14ac:dyDescent="0.2">
      <c r="B25" s="52" t="s">
        <v>43</v>
      </c>
      <c r="C25" s="52"/>
      <c r="D25" s="53">
        <f t="shared" ref="D25:H25" si="22">MAX(D31,D35,D39,D43,D47,D51,D55,D59,D63,D67,D71,D75,D79,D83,D87,D91,D95,D99,D103,D107)</f>
        <v>14.401292708042925</v>
      </c>
      <c r="E25" s="53">
        <f t="shared" si="22"/>
        <v>14.187560767199017</v>
      </c>
      <c r="F25" s="53">
        <f t="shared" si="22"/>
        <v>13.986599220368959</v>
      </c>
      <c r="G25" s="53">
        <f t="shared" si="22"/>
        <v>9.3082319433141461</v>
      </c>
      <c r="H25" s="53">
        <f t="shared" si="22"/>
        <v>13.363909007809958</v>
      </c>
      <c r="I25" s="53">
        <f t="shared" ref="I25:K25" si="23">MAX(I31,I35,I39,I43,I47,I51,I55,I59,I63,I67,I71,I75,I79,I83,I87,I91,I95,I99,I103,I107)</f>
        <v>12.933362403346125</v>
      </c>
      <c r="J25" s="53">
        <f t="shared" si="23"/>
        <v>12.120249733551166</v>
      </c>
      <c r="K25" s="53">
        <f t="shared" si="23"/>
        <v>16.498614964924734</v>
      </c>
      <c r="L25" s="53">
        <f t="shared" ref="L25:Q25" si="24">MAX(L31,L35,L39,L43,L47,L51,L55,L59,L63,L67,L71,L75,L79,L83,L87,L91,L95,L99,L103,L107)</f>
        <v>12.475106955674853</v>
      </c>
      <c r="M25" s="53">
        <f t="shared" si="24"/>
        <v>15.557304692167282</v>
      </c>
      <c r="N25" s="53">
        <f t="shared" si="24"/>
        <v>15.244858158018022</v>
      </c>
      <c r="O25" s="53">
        <f t="shared" si="24"/>
        <v>12.105660278844242</v>
      </c>
      <c r="P25" s="53">
        <f t="shared" si="24"/>
        <v>9.644121600620327</v>
      </c>
      <c r="Q25" s="53">
        <f t="shared" si="24"/>
        <v>10.204597827228088</v>
      </c>
      <c r="R25" s="53">
        <f t="shared" ref="R25" si="25">MAX(R31,R35,R39,R43,R47,R51,R55,R59,R63,R67,R71,R75,R79,R83,R87,R91,R95,R99,R103,R107)</f>
        <v>13.169688120190447</v>
      </c>
      <c r="S25" s="53"/>
      <c r="T25" s="53"/>
      <c r="U25" s="53"/>
      <c r="V25" s="53"/>
      <c r="W25" s="53"/>
    </row>
    <row r="26" spans="1:23" ht="13.5" thickBot="1" x14ac:dyDescent="0.25">
      <c r="B26" s="54" t="s">
        <v>49</v>
      </c>
      <c r="C26" s="54"/>
      <c r="D26" s="55">
        <f t="shared" ref="D26:H26" si="26">D25/D4^2*1000000</f>
        <v>72.009364130361234</v>
      </c>
      <c r="E26" s="55">
        <f t="shared" si="26"/>
        <v>72.154568722779544</v>
      </c>
      <c r="F26" s="55">
        <f t="shared" si="26"/>
        <v>72.140230144671747</v>
      </c>
      <c r="G26" s="55">
        <f t="shared" si="26"/>
        <v>74.794197670376107</v>
      </c>
      <c r="H26" s="55">
        <f t="shared" si="26"/>
        <v>72.337973729953646</v>
      </c>
      <c r="I26" s="55">
        <f t="shared" ref="I26" si="27">I25/I4^2*1000000</f>
        <v>72.662066238716704</v>
      </c>
      <c r="J26" s="55">
        <f t="shared" ref="J26" si="28">J25/J4^2*1000000</f>
        <v>72.678049060537234</v>
      </c>
      <c r="K26" s="55">
        <f t="shared" ref="K26:Q26" si="29">K25/K4^2*1000000</f>
        <v>74.848042011350657</v>
      </c>
      <c r="L26" s="55">
        <f t="shared" si="29"/>
        <v>74.734700166307718</v>
      </c>
      <c r="M26" s="55">
        <f t="shared" si="29"/>
        <v>71.44892636781546</v>
      </c>
      <c r="N26" s="55">
        <f t="shared" si="29"/>
        <v>71.568301453111786</v>
      </c>
      <c r="O26" s="55">
        <f t="shared" si="29"/>
        <v>72.868704022355871</v>
      </c>
      <c r="P26" s="55">
        <f t="shared" si="29"/>
        <v>74.400586440790192</v>
      </c>
      <c r="Q26" s="55">
        <f t="shared" si="29"/>
        <v>73.733850648131366</v>
      </c>
      <c r="R26" s="55">
        <f t="shared" ref="R26" si="30">R25/R4^2*1000000</f>
        <v>72.23277010293917</v>
      </c>
      <c r="S26" s="55"/>
      <c r="T26" s="55"/>
      <c r="U26" s="55"/>
      <c r="V26" s="55"/>
      <c r="W26" s="55"/>
    </row>
    <row r="27" spans="1:23" ht="13.5" thickTop="1" x14ac:dyDescent="0.2">
      <c r="B27" s="5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 x14ac:dyDescent="0.2">
      <c r="B28" s="1" t="s">
        <v>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38.25" x14ac:dyDescent="0.2">
      <c r="A29" s="172">
        <v>1</v>
      </c>
      <c r="B29" s="173" t="str">
        <f>Lähteandmed!B24</f>
        <v>Tuule piirkiirus</v>
      </c>
      <c r="C29" s="76" t="s">
        <v>222</v>
      </c>
      <c r="D29" s="6">
        <f>SQRT((kaalutegur R_1*[1]!juhe(D5,6)+jaitetegur R_1*[1]!Jaitekoormus_EN(D$5,JaideJ,hj))^2+(tuuletegur R_1*[1]!Tuulekoormus_en(D$5,Qt,ht,zo,D$4,JaideJ,jaitetegur R_1))^2)</f>
        <v>0.16798140918450302</v>
      </c>
      <c r="E29" s="6">
        <f>SQRT((kaalutegur R_1*[1]!juhe(E5,6)+jaitetegur R_1*[1]!Jaitekoormus_EN(E$5,JaideJ,hj))^2+(tuuletegur R_1*[1]!Tuulekoormus_en(E$5,Qt,ht,zo,E$4,JaideJ,jaitetegur R_1))^2)</f>
        <v>0.16811274033403775</v>
      </c>
      <c r="F29" s="6">
        <f>SQRT((kaalutegur R_1*[1]!juhe(F5,6)+jaitetegur R_1*[1]!Jaitekoormus_EN(F$5,JaideJ,hj))^2+(tuuletegur R_1*[1]!Tuulekoormus_en(F$5,Qt,ht,zo,F$4,JaideJ,jaitetegur R_1))^2)</f>
        <v>0.16822163548057323</v>
      </c>
      <c r="G29" s="6">
        <f>SQRT((kaalutegur R_1*[1]!juhe(G5,6)+jaitetegur R_1*[1]!Jaitekoormus_EN(G$5,JaideJ,hj))^2+(tuuletegur R_1*[1]!Tuulekoormus_en(G$5,Qt,ht,zo,G$4,JaideJ,jaitetegur R_1))^2)</f>
        <v>0.17165746894432918</v>
      </c>
      <c r="H29" s="6">
        <f>SQRT((kaalutegur R_1*[1]!juhe(H5,6)+jaitetegur R_1*[1]!Jaitekoormus_EN(H$5,JaideJ,hj))^2+(tuuletegur R_1*[1]!Tuulekoormus_en(H$5,Qt,ht,zo,H$4,JaideJ,jaitetegur R_1))^2)</f>
        <v>0.16859543001087404</v>
      </c>
      <c r="I29" s="6">
        <f>SQRT((kaalutegur R_1*[1]!juhe(I5,6)+jaitetegur R_1*[1]!Jaitekoormus_EN(I$5,JaideJ,hj))^2+(tuuletegur R_1*[1]!Tuulekoormus_en(I$5,Qt,ht,zo,I$4,JaideJ,jaitetegur R_1))^2)</f>
        <v>0.16888364571873954</v>
      </c>
      <c r="J29" s="6">
        <f>SQRT((kaalutegur R_1*[1]!juhe(J5,6)+jaitetegur R_1*[1]!Jaitekoormus_EN(J$5,JaideJ,hj))^2+(tuuletegur R_1*[1]!Tuulekoormus_en(J$5,Qt,ht,zo,J$4,JaideJ,jaitetegur R_1))^2)</f>
        <v>0.16938832150669811</v>
      </c>
      <c r="K29" s="6">
        <f>SQRT((kaalutegur R_1*[1]!juhe(K5,6)+jaitetegur R_1*[1]!Jaitekoormus_EN(K$5,JaideJ,hj))^2+(tuuletegur R_1*[1]!Tuulekoormus_en(K$5,Qt,ht,zo,K$4,JaideJ,jaitetegur R_1))^2)</f>
        <v>0.16722852792525097</v>
      </c>
      <c r="L29" s="6">
        <f>SQRT((kaalutegur R_1*[1]!juhe(L5,6)+jaitetegur R_1*[1]!Jaitekoormus_EN(L$5,JaideJ,hj))^2+(tuuletegur R_1*[1]!Tuulekoormus_en(L$5,Qt,ht,zo,L$4,JaideJ,jaitetegur R_1))^2)</f>
        <v>0.16938094203278292</v>
      </c>
      <c r="M29" s="6">
        <f>SQRT((kaalutegur R_1*[1]!juhe(M5,6)+jaitetegur R_1*[1]!Jaitekoormus_EN(M$5,JaideJ,hj))^2+(tuuletegur R_1*[1]!Tuulekoormus_en(M$5,Qt,ht,zo,M$4,JaideJ,jaitetegur R_1))^2)</f>
        <v>0.16732344677571706</v>
      </c>
      <c r="N29" s="6">
        <f>SQRT((kaalutegur R_1*[1]!juhe(N5,6)+jaitetegur R_1*[1]!Jaitekoormus_EN(N$5,JaideJ,hj))^2+(tuuletegur R_1*[1]!Tuulekoormus_en(N$5,Qt,ht,zo,N$4,JaideJ,jaitetegur R_1))^2)</f>
        <v>0.16749333384051002</v>
      </c>
      <c r="O29" s="6">
        <f>SQRT((kaalutegur R_1*[1]!juhe(O5,6)+jaitetegur R_1*[1]!Jaitekoormus_EN(O$5,JaideJ,hj))^2+(tuuletegur R_1*[1]!Tuulekoormus_en(O$5,Qt,ht,zo,O$4,JaideJ,jaitetegur R_1))^2)</f>
        <v>0.16941794994479964</v>
      </c>
      <c r="P29" s="6">
        <f>SQRT((kaalutegur R_1*[1]!juhe(P5,6)+jaitetegur R_1*[1]!Jaitekoormus_EN(P$5,JaideJ,hj))^2+(tuuletegur R_1*[1]!Tuulekoormus_en(P$5,Qt,ht,zo,P$4,JaideJ,jaitetegur R_1))^2)</f>
        <v>0.17134152394675836</v>
      </c>
      <c r="Q29" s="6">
        <f>SQRT((kaalutegur R_1*[1]!juhe(Q5,6)+jaitetegur R_1*[1]!Jaitekoormus_EN(Q$5,JaideJ,hj))^2+(tuuletegur R_1*[1]!Tuulekoormus_en(Q$5,Qt,ht,zo,Q$4,JaideJ,jaitetegur R_1))^2)</f>
        <v>0.17083358228220066</v>
      </c>
      <c r="R29" s="6">
        <f>SQRT((kaalutegur R_1*[1]!juhe(R5,6)+jaitetegur R_1*[1]!Jaitekoormus_EN(R$5,JaideJ,hj))^2+(tuuletegur R_1*[1]!Tuulekoormus_en(R$5,Qt,ht,zo,R$4,JaideJ,jaitetegur R_1))^2)</f>
        <v>0.16869752488466713</v>
      </c>
      <c r="S29" s="6"/>
      <c r="T29" s="6"/>
      <c r="U29" s="6"/>
      <c r="V29" s="6"/>
      <c r="W29" s="6"/>
    </row>
    <row r="30" spans="1:23" x14ac:dyDescent="0.2">
      <c r="A30" s="172"/>
      <c r="B30" s="173"/>
      <c r="C30" s="76" t="s">
        <v>104</v>
      </c>
      <c r="D30" s="3">
        <f>[1]!Olekuvorrand(D$4,D$5,D$8,5,D$11,Lähteandmed!$C24,D29)</f>
        <v>298.96050691604614</v>
      </c>
      <c r="E30" s="3">
        <f>[1]!Olekuvorrand(E$4,E$5,E$8,5,E$11,Lähteandmed!$C24,E29)</f>
        <v>298.59822988510132</v>
      </c>
      <c r="F30" s="3">
        <f>[1]!Olekuvorrand(F$4,F$5,F$8,5,F$11,Lähteandmed!$C24,F29)</f>
        <v>298.88778924942017</v>
      </c>
      <c r="G30" s="3">
        <f>[1]!Olekuvorrand(G$4,G$5,G$8,5,G$11,Lähteandmed!$C24,G29)</f>
        <v>294.32886838912964</v>
      </c>
      <c r="H30" s="3">
        <f>[1]!Olekuvorrand(H$4,H$5,H$8,5,H$11,Lähteandmed!$C24,H29)</f>
        <v>298.79683256149292</v>
      </c>
      <c r="I30" s="3">
        <f>[1]!Olekuvorrand(I$4,I$5,I$8,5,I$11,Lähteandmed!$C24,I29)</f>
        <v>297.97714948654175</v>
      </c>
      <c r="J30" s="3">
        <f>[1]!Olekuvorrand(J$4,J$5,J$8,5,J$11,Lähteandmed!$C24,J29)</f>
        <v>298.93225431442261</v>
      </c>
      <c r="K30" s="3">
        <f>[1]!Olekuvorrand(K$4,K$5,K$8,5,K$11,Lähteandmed!$C24,K29)</f>
        <v>285.48377752304077</v>
      </c>
      <c r="L30" s="3">
        <f>[1]!Olekuvorrand(L$4,L$5,L$8,5,L$11,Lähteandmed!$C24,L29)</f>
        <v>290.23474454879761</v>
      </c>
      <c r="M30" s="3">
        <f>[1]!Olekuvorrand(M$4,M$5,M$8,5,M$11,Lähteandmed!$C24,M29)</f>
        <v>300.04638433456421</v>
      </c>
      <c r="N30" s="3">
        <f>[1]!Olekuvorrand(N$4,N$5,N$8,5,N$11,Lähteandmed!$C24,N29)</f>
        <v>299.87794160842896</v>
      </c>
      <c r="O30" s="3">
        <f>[1]!Olekuvorrand(O$4,O$5,O$8,5,O$11,Lähteandmed!$C24,O29)</f>
        <v>298.16490411758423</v>
      </c>
      <c r="P30" s="3">
        <f>[1]!Olekuvorrand(P$4,P$5,P$8,5,P$11,Lähteandmed!$C24,P29)</f>
        <v>295.38220167160034</v>
      </c>
      <c r="Q30" s="3">
        <f>[1]!Olekuvorrand(Q$4,Q$5,Q$8,5,Q$11,Lähteandmed!$C24,Q29)</f>
        <v>297.23447561264038</v>
      </c>
      <c r="R30" s="3">
        <f>[1]!Olekuvorrand(R$4,R$5,R$8,5,R$11,Lähteandmed!$C24,R29)</f>
        <v>299.46786165237427</v>
      </c>
      <c r="S30" s="3"/>
      <c r="T30" s="3"/>
      <c r="U30" s="3"/>
      <c r="V30" s="3"/>
      <c r="W30" s="3"/>
    </row>
    <row r="31" spans="1:23" ht="12.75" customHeight="1" x14ac:dyDescent="0.2">
      <c r="A31" s="42"/>
      <c r="B31" s="173"/>
      <c r="C31" s="76" t="s">
        <v>105</v>
      </c>
      <c r="D31" s="3">
        <f>[1]!ripe(D30,D$11+Lähteandmed!$E24*D$13,D$4,0)</f>
        <v>4.4736548593420515</v>
      </c>
      <c r="E31" s="3">
        <f>[1]!ripe(E30,E$11+Lähteandmed!$E24*E$13,E$4,0)</f>
        <v>4.4037277879706069</v>
      </c>
      <c r="F31" s="3">
        <f>[1]!ripe(F30,F$11+Lähteandmed!$E24*F$13,F$4,0)</f>
        <v>4.3380068088439758</v>
      </c>
      <c r="G31" s="3">
        <f>[1]!ripe(G30,G$11+Lähteandmed!$E24*G$13,G$4,0)</f>
        <v>2.827679758870866</v>
      </c>
      <c r="H31" s="3">
        <f>[1]!ripe(H30,H$11+Lähteandmed!$E24*H$13,H$4,0)</f>
        <v>4.134804460517052</v>
      </c>
      <c r="I31" s="3">
        <f>[1]!ripe(I30,I$11+Lähteandmed!$E24*I$13,I$4,0)</f>
        <v>3.994703382903682</v>
      </c>
      <c r="J31" s="3">
        <f>[1]!ripe(J30,J$11+Lähteandmed!$E24*J$13,J$4,0)</f>
        <v>3.7307772982227698</v>
      </c>
      <c r="K31" s="3">
        <f>[1]!ripe(K30,K$11+Lähteandmed!$E24*K$13,K$4,0)</f>
        <v>5.1635620917273872</v>
      </c>
      <c r="L31" s="3">
        <f>[1]!ripe(L30,L$11+Lähteandmed!$E24*L$13,L$4,0)</f>
        <v>3.8462399535233489</v>
      </c>
      <c r="M31" s="3">
        <f>[1]!ripe(M30,M$11+Lähteandmed!$E24*M$13,M$4,0)</f>
        <v>4.8530419745349196</v>
      </c>
      <c r="N31" s="3">
        <f>[1]!ripe(N30,N$11+Lähteandmed!$E24*N$13,N$4,0)</f>
        <v>4.7503099952430832</v>
      </c>
      <c r="O31" s="3">
        <f>[1]!ripe(O30,O$11+Lähteandmed!$E24*O$13,O$4,0)</f>
        <v>3.7261017367563376</v>
      </c>
      <c r="P31" s="3">
        <f>[1]!ripe(P30,P$11+Lähteandmed!$E24*P$13,P$4,0)</f>
        <v>2.9347140462113672</v>
      </c>
      <c r="Q31" s="3">
        <f>[1]!ripe(Q30,Q$11+Lähteandmed!$E24*Q$13,Q$4,0)</f>
        <v>3.1138206369271333</v>
      </c>
      <c r="R31" s="3">
        <f>[1]!ripe(R30,R$11+Lähteandmed!$E24*R$13,R$4,0)</f>
        <v>4.0715033226649435</v>
      </c>
      <c r="S31" s="3"/>
      <c r="T31" s="3"/>
      <c r="U31" s="3"/>
      <c r="V31" s="3"/>
      <c r="W31" s="3"/>
    </row>
    <row r="32" spans="1:23" x14ac:dyDescent="0.2">
      <c r="A32" s="42"/>
      <c r="B32" s="173"/>
      <c r="C32" s="76" t="s">
        <v>49</v>
      </c>
      <c r="D32" s="50">
        <f t="shared" ref="D32:K32" si="31">D31/D$4^2*1000000</f>
        <v>22.369175343544555</v>
      </c>
      <c r="E32" s="50">
        <f t="shared" ref="E32:R32" si="32">E31/E$4^2*1000000</f>
        <v>22.396314949935594</v>
      </c>
      <c r="F32" s="50">
        <f t="shared" si="32"/>
        <v>22.374617634243059</v>
      </c>
      <c r="G32" s="50">
        <f t="shared" si="32"/>
        <v>22.721182725299354</v>
      </c>
      <c r="H32" s="50">
        <f t="shared" si="32"/>
        <v>22.381428687413212</v>
      </c>
      <c r="I32" s="50">
        <f t="shared" si="32"/>
        <v>22.44299608719508</v>
      </c>
      <c r="J32" s="50">
        <f t="shared" si="32"/>
        <v>22.371289492789092</v>
      </c>
      <c r="K32" s="50">
        <f t="shared" si="32"/>
        <v>23.425148910467488</v>
      </c>
      <c r="L32" s="50">
        <f t="shared" si="32"/>
        <v>23.041693407164143</v>
      </c>
      <c r="M32" s="50">
        <f t="shared" si="32"/>
        <v>22.2882205857317</v>
      </c>
      <c r="N32" s="50">
        <f t="shared" si="32"/>
        <v>22.300739974840578</v>
      </c>
      <c r="O32" s="50">
        <f t="shared" si="32"/>
        <v>22.428863718188371</v>
      </c>
      <c r="P32" s="50">
        <f t="shared" si="32"/>
        <v>22.640158960677731</v>
      </c>
      <c r="Q32" s="50">
        <f t="shared" si="32"/>
        <v>22.49907244513329</v>
      </c>
      <c r="R32" s="50">
        <f t="shared" si="32"/>
        <v>22.331277764165982</v>
      </c>
      <c r="S32" s="50"/>
      <c r="T32" s="50"/>
      <c r="U32" s="50"/>
      <c r="V32" s="50"/>
      <c r="W32" s="50"/>
    </row>
    <row r="33" spans="1:23" ht="38.25" x14ac:dyDescent="0.2">
      <c r="A33" s="159">
        <v>2</v>
      </c>
      <c r="B33" s="174" t="str">
        <f>Lähteandmed!B27</f>
        <v>Miinimumtemperatuur</v>
      </c>
      <c r="C33" s="77" t="s">
        <v>222</v>
      </c>
      <c r="D33" s="9">
        <f>SQRT((kaalutegur R_2*[1]!juhe(D5,6)+jaitetegur R_2*[1]!Jaitekoormus_EN(D$5,JaideJ,hj))^2+(tuuletegur R_2*[1]!Tuulekoormus_en(D$5,Qt,ht,zo,D$4,JaideJ,jaitetegur R_2))^2)</f>
        <v>5.3499999999999999E-2</v>
      </c>
      <c r="E33" s="9">
        <f>SQRT((kaalutegur R_2*[1]!juhe(E5,6)+jaitetegur R_2*[1]!Jaitekoormus_EN(E$5,JaideJ,hj))^2+(tuuletegur R_2*[1]!Tuulekoormus_en(E$5,Qt,ht,zo,E$4,JaideJ,jaitetegur R_2))^2)</f>
        <v>5.3499999999999999E-2</v>
      </c>
      <c r="F33" s="9">
        <f>SQRT((kaalutegur R_2*[1]!juhe(F5,6)+jaitetegur R_2*[1]!Jaitekoormus_EN(F$5,JaideJ,hj))^2+(tuuletegur R_2*[1]!Tuulekoormus_en(F$5,Qt,ht,zo,F$4,JaideJ,jaitetegur R_2))^2)</f>
        <v>5.3499999999999999E-2</v>
      </c>
      <c r="G33" s="9">
        <f>SQRT((kaalutegur R_2*[1]!juhe(G5,6)+jaitetegur R_2*[1]!Jaitekoormus_EN(G$5,JaideJ,hj))^2+(tuuletegur R_2*[1]!Tuulekoormus_en(G$5,Qt,ht,zo,G$4,JaideJ,jaitetegur R_2))^2)</f>
        <v>5.3499999999999999E-2</v>
      </c>
      <c r="H33" s="9">
        <f>SQRT((kaalutegur R_2*[1]!juhe(H5,6)+jaitetegur R_2*[1]!Jaitekoormus_EN(H$5,JaideJ,hj))^2+(tuuletegur R_2*[1]!Tuulekoormus_en(H$5,Qt,ht,zo,H$4,JaideJ,jaitetegur R_2))^2)</f>
        <v>5.3499999999999999E-2</v>
      </c>
      <c r="I33" s="9">
        <f>SQRT((kaalutegur R_2*[1]!juhe(I5,6)+jaitetegur R_2*[1]!Jaitekoormus_EN(I$5,JaideJ,hj))^2+(tuuletegur R_2*[1]!Tuulekoormus_en(I$5,Qt,ht,zo,I$4,JaideJ,jaitetegur R_2))^2)</f>
        <v>5.3499999999999999E-2</v>
      </c>
      <c r="J33" s="9">
        <f>SQRT((kaalutegur R_2*[1]!juhe(J5,6)+jaitetegur R_2*[1]!Jaitekoormus_EN(J$5,JaideJ,hj))^2+(tuuletegur R_2*[1]!Tuulekoormus_en(J$5,Qt,ht,zo,J$4,JaideJ,jaitetegur R_2))^2)</f>
        <v>5.3499999999999999E-2</v>
      </c>
      <c r="K33" s="9">
        <f>SQRT((kaalutegur R_2*[1]!juhe(K5,6)+jaitetegur R_2*[1]!Jaitekoormus_EN(K$5,JaideJ,hj))^2+(tuuletegur R_2*[1]!Tuulekoormus_en(K$5,Qt,ht,zo,K$4,JaideJ,jaitetegur R_2))^2)</f>
        <v>5.3499999999999999E-2</v>
      </c>
      <c r="L33" s="9">
        <f>SQRT((kaalutegur R_2*[1]!juhe(L5,6)+jaitetegur R_2*[1]!Jaitekoormus_EN(L$5,JaideJ,hj))^2+(tuuletegur R_2*[1]!Tuulekoormus_en(L$5,Qt,ht,zo,L$4,JaideJ,jaitetegur R_2))^2)</f>
        <v>5.3499999999999999E-2</v>
      </c>
      <c r="M33" s="9">
        <f>SQRT((kaalutegur R_2*[1]!juhe(M5,6)+jaitetegur R_2*[1]!Jaitekoormus_EN(M$5,JaideJ,hj))^2+(tuuletegur R_2*[1]!Tuulekoormus_en(M$5,Qt,ht,zo,M$4,JaideJ,jaitetegur R_2))^2)</f>
        <v>5.3499999999999999E-2</v>
      </c>
      <c r="N33" s="9">
        <f>SQRT((kaalutegur R_2*[1]!juhe(N5,6)+jaitetegur R_2*[1]!Jaitekoormus_EN(N$5,JaideJ,hj))^2+(tuuletegur R_2*[1]!Tuulekoormus_en(N$5,Qt,ht,zo,N$4,JaideJ,jaitetegur R_2))^2)</f>
        <v>5.3499999999999999E-2</v>
      </c>
      <c r="O33" s="9">
        <f>SQRT((kaalutegur R_2*[1]!juhe(O5,6)+jaitetegur R_2*[1]!Jaitekoormus_EN(O$5,JaideJ,hj))^2+(tuuletegur R_2*[1]!Tuulekoormus_en(O$5,Qt,ht,zo,O$4,JaideJ,jaitetegur R_2))^2)</f>
        <v>5.3499999999999999E-2</v>
      </c>
      <c r="P33" s="9">
        <f>SQRT((kaalutegur R_2*[1]!juhe(P5,6)+jaitetegur R_2*[1]!Jaitekoormus_EN(P$5,JaideJ,hj))^2+(tuuletegur R_2*[1]!Tuulekoormus_en(P$5,Qt,ht,zo,P$4,JaideJ,jaitetegur R_2))^2)</f>
        <v>5.3499999999999999E-2</v>
      </c>
      <c r="Q33" s="9">
        <f>SQRT((kaalutegur R_2*[1]!juhe(Q5,6)+jaitetegur R_2*[1]!Jaitekoormus_EN(Q$5,JaideJ,hj))^2+(tuuletegur R_2*[1]!Tuulekoormus_en(Q$5,Qt,ht,zo,Q$4,JaideJ,jaitetegur R_2))^2)</f>
        <v>5.3499999999999999E-2</v>
      </c>
      <c r="R33" s="9">
        <f>SQRT((kaalutegur R_2*[1]!juhe(R5,6)+jaitetegur R_2*[1]!Jaitekoormus_EN(R$5,JaideJ,hj))^2+(tuuletegur R_2*[1]!Tuulekoormus_en(R$5,Qt,ht,zo,R$4,JaideJ,jaitetegur R_2))^2)</f>
        <v>5.3499999999999999E-2</v>
      </c>
      <c r="S33" s="9"/>
      <c r="T33" s="9"/>
      <c r="U33" s="9"/>
      <c r="V33" s="9"/>
      <c r="W33" s="9"/>
    </row>
    <row r="34" spans="1:23" x14ac:dyDescent="0.2">
      <c r="A34" s="159"/>
      <c r="B34" s="174"/>
      <c r="C34" s="77" t="s">
        <v>104</v>
      </c>
      <c r="D34" s="22">
        <f>[1]!Olekuvorrand(D$4,D$5,D$8,5,D$11,Lähteandmed!$C27,D33)</f>
        <v>136.0587477684021</v>
      </c>
      <c r="E34" s="22">
        <f>[1]!Olekuvorrand(E$4,E$5,E$8,5,E$11,Lähteandmed!$C27,E33)</f>
        <v>136.48003339767456</v>
      </c>
      <c r="F34" s="22">
        <f>[1]!Olekuvorrand(F$4,F$5,F$8,5,F$11,Lähteandmed!$C27,F33)</f>
        <v>137.40867376327515</v>
      </c>
      <c r="G34" s="22">
        <f>[1]!Olekuvorrand(G$4,G$5,G$8,5,G$11,Lähteandmed!$C27,G33)</f>
        <v>159.73812341690063</v>
      </c>
      <c r="H34" s="22">
        <f>[1]!Olekuvorrand(H$4,H$5,H$8,5,H$11,Lähteandmed!$C27,H33)</f>
        <v>139.65862989425659</v>
      </c>
      <c r="I34" s="22">
        <f>[1]!Olekuvorrand(I$4,I$5,I$8,5,I$11,Lähteandmed!$C27,I33)</f>
        <v>140.72602987289429</v>
      </c>
      <c r="J34" s="22">
        <f>[1]!Olekuvorrand(J$4,J$5,J$8,5,J$11,Lähteandmed!$C27,J33)</f>
        <v>145.34813165664673</v>
      </c>
      <c r="K34" s="22">
        <f>[1]!Olekuvorrand(K$4,K$5,K$8,5,K$11,Lähteandmed!$C27,K33)</f>
        <v>120.87136507034302</v>
      </c>
      <c r="L34" s="22">
        <f>[1]!Olekuvorrand(L$4,L$5,L$8,5,L$11,Lähteandmed!$C27,L33)</f>
        <v>136.03752851486206</v>
      </c>
      <c r="M34" s="22">
        <f>[1]!Olekuvorrand(M$4,M$5,M$8,5,M$11,Lähteandmed!$C27,M33)</f>
        <v>133.45330953598022</v>
      </c>
      <c r="N34" s="22">
        <f>[1]!Olekuvorrand(N$4,N$5,N$8,5,N$11,Lähteandmed!$C27,N33)</f>
        <v>134.19562578201294</v>
      </c>
      <c r="O34" s="22">
        <f>[1]!Olekuvorrand(O$4,O$5,O$8,5,O$11,Lähteandmed!$C27,O33)</f>
        <v>144.72299814224243</v>
      </c>
      <c r="P34" s="22">
        <f>[1]!Olekuvorrand(P$4,P$5,P$8,5,P$11,Lähteandmed!$C27,P33)</f>
        <v>157.98979997634888</v>
      </c>
      <c r="Q34" s="22">
        <f>[1]!Olekuvorrand(Q$4,Q$5,Q$8,5,Q$11,Lähteandmed!$C27,Q33)</f>
        <v>155.52061796188354</v>
      </c>
      <c r="R34" s="22">
        <f>[1]!Olekuvorrand(R$4,R$5,R$8,5,R$11,Lähteandmed!$C27,R33)</f>
        <v>141.01451635360718</v>
      </c>
      <c r="S34" s="22"/>
      <c r="T34" s="22"/>
      <c r="U34" s="22"/>
      <c r="V34" s="22"/>
      <c r="W34" s="22"/>
    </row>
    <row r="35" spans="1:23" x14ac:dyDescent="0.2">
      <c r="A35" s="159"/>
      <c r="B35" s="174"/>
      <c r="C35" s="77" t="s">
        <v>105</v>
      </c>
      <c r="D35" s="9">
        <f>[1]!ripe(D34,D$11+Lähteandmed!$E27*D$13,D$4,0)</f>
        <v>9.829916462210285</v>
      </c>
      <c r="E35" s="9">
        <f>[1]!ripe(E34,E$11+Lähteandmed!$E27*E$13,E$4,0)</f>
        <v>9.6347083866280823</v>
      </c>
      <c r="F35" s="9">
        <f>[1]!ripe(F34,F$11+Lähteandmed!$E27*F$13,F$4,0)</f>
        <v>9.4359200866607953</v>
      </c>
      <c r="G35" s="9">
        <f>[1]!ripe(G34,G$11+Lähteandmed!$E27*G$13,G$4,0)</f>
        <v>5.2102013332357284</v>
      </c>
      <c r="H35" s="9">
        <f>[1]!ripe(H34,H$11+Lähteandmed!$E27*H$13,H$4,0)</f>
        <v>8.846331064532631</v>
      </c>
      <c r="I35" s="9">
        <f>[1]!ripe(I34,I$11+Lähteandmed!$E27*I$13,I$4,0)</f>
        <v>8.4584943393699614</v>
      </c>
      <c r="J35" s="9">
        <f>[1]!ripe(J34,J$11+Lähteandmed!$E27*J$13,J$4,0)</f>
        <v>7.6729549626226889</v>
      </c>
      <c r="K35" s="9">
        <f>[1]!ripe(K34,K$11+Lähteandmed!$E27*K$13,K$4,0)</f>
        <v>12.195719065166715</v>
      </c>
      <c r="L35" s="9">
        <f>[1]!ripe(L34,L$11+Lähteandmed!$E27*L$13,L$4,0)</f>
        <v>8.2059155482398491</v>
      </c>
      <c r="M35" s="9">
        <f>[1]!ripe(M34,M$11+Lähteandmed!$E27*M$13,M$4,0)</f>
        <v>10.911214585431386</v>
      </c>
      <c r="N35" s="9">
        <f>[1]!ripe(N34,N$11+Lähteandmed!$E27*N$13,N$4,0)</f>
        <v>10.615198335074032</v>
      </c>
      <c r="O35" s="9">
        <f>[1]!ripe(O34,O$11+Lähteandmed!$E27*O$13,O$4,0)</f>
        <v>7.6766842957493688</v>
      </c>
      <c r="P35" s="9">
        <f>[1]!ripe(P34,P$11+Lähteandmed!$E27*P$13,P$4,0)</f>
        <v>5.4868244429466575</v>
      </c>
      <c r="Q35" s="9">
        <f>[1]!ripe(Q34,Q$11+Lähteandmed!$E27*Q$13,Q$4,0)</f>
        <v>5.9512034886312826</v>
      </c>
      <c r="R35" s="9">
        <f>[1]!ripe(R34,R$11+Lähteandmed!$E27*R$13,R$4,0)</f>
        <v>8.6465168642038037</v>
      </c>
      <c r="S35" s="9"/>
      <c r="T35" s="9"/>
      <c r="U35" s="9"/>
      <c r="V35" s="9"/>
      <c r="W35" s="9"/>
    </row>
    <row r="36" spans="1:23" x14ac:dyDescent="0.2">
      <c r="A36" s="39"/>
      <c r="B36" s="174"/>
      <c r="C36" s="77" t="s">
        <v>49</v>
      </c>
      <c r="D36" s="51">
        <f t="shared" ref="D36:K36" si="33">D35/D$4^2*1000000</f>
        <v>49.151562172124343</v>
      </c>
      <c r="E36" s="51">
        <f t="shared" ref="E36:R36" si="34">E35/E$4^2*1000000</f>
        <v>48.999841467755282</v>
      </c>
      <c r="F36" s="51">
        <f t="shared" si="34"/>
        <v>48.668688932411122</v>
      </c>
      <c r="G36" s="51">
        <f t="shared" si="34"/>
        <v>41.865397294960637</v>
      </c>
      <c r="H36" s="51">
        <f t="shared" si="34"/>
        <v>47.884616976863391</v>
      </c>
      <c r="I36" s="51">
        <f t="shared" si="34"/>
        <v>47.521414524663577</v>
      </c>
      <c r="J36" s="51">
        <f t="shared" si="34"/>
        <v>46.010223342930608</v>
      </c>
      <c r="K36" s="51">
        <f t="shared" si="34"/>
        <v>55.327413536763679</v>
      </c>
      <c r="L36" s="51">
        <f t="shared" si="34"/>
        <v>49.15922887609203</v>
      </c>
      <c r="M36" s="51">
        <f t="shared" si="34"/>
        <v>50.111158900836323</v>
      </c>
      <c r="N36" s="51">
        <f t="shared" si="34"/>
        <v>49.83396411790023</v>
      </c>
      <c r="O36" s="51">
        <f t="shared" si="34"/>
        <v>46.208965305065917</v>
      </c>
      <c r="P36" s="51">
        <f t="shared" si="34"/>
        <v>42.32868198454026</v>
      </c>
      <c r="Q36" s="51">
        <f t="shared" si="34"/>
        <v>43.000729341488565</v>
      </c>
      <c r="R36" s="51">
        <f t="shared" si="34"/>
        <v>47.424195557501783</v>
      </c>
      <c r="S36" s="51"/>
      <c r="T36" s="51"/>
      <c r="U36" s="51"/>
      <c r="V36" s="51"/>
      <c r="W36" s="51"/>
    </row>
    <row r="37" spans="1:23" ht="38.25" x14ac:dyDescent="0.2">
      <c r="A37" s="172">
        <v>3</v>
      </c>
      <c r="B37" s="173" t="str">
        <f>Lähteandmed!B30</f>
        <v>Mõõdukas tuul</v>
      </c>
      <c r="C37" s="76" t="s">
        <v>222</v>
      </c>
      <c r="D37" s="6">
        <f>SQRT((kaalutegur R_3*[1]!juhe(D5,6)+jaitetegur R_3*[1]!Jaitekoormus_EN(D$5,JaideJ,hj))^2+(tuuletegur R_3*[1]!Tuulekoormus_en(D$5,Qt,ht,zo,D$4,JaideJ,jaitetegur R_3))^2)</f>
        <v>8.3181311681517933E-2</v>
      </c>
      <c r="E37" s="6">
        <f>SQRT((kaalutegur R_3*[1]!juhe(E5,6)+jaitetegur R_3*[1]!Jaitekoormus_EN(E$5,JaideJ,hj))^2+(tuuletegur R_3*[1]!Tuulekoormus_en(E$5,Qt,ht,zo,E$4,JaideJ,jaitetegur R_3))^2)</f>
        <v>8.3223752342820603E-2</v>
      </c>
      <c r="F37" s="6">
        <f>SQRT((kaalutegur R_3*[1]!juhe(F5,6)+jaitetegur R_3*[1]!Jaitekoormus_EN(F$5,JaideJ,hj))^2+(tuuletegur R_3*[1]!Tuulekoormus_en(F$5,Qt,ht,zo,F$4,JaideJ,jaitetegur R_3))^2)</f>
        <v>8.3258951368615122E-2</v>
      </c>
      <c r="G37" s="6">
        <f>SQRT((kaalutegur R_3*[1]!juhe(G5,6)+jaitetegur R_3*[1]!Jaitekoormus_EN(G$5,JaideJ,hj))^2+(tuuletegur R_3*[1]!Tuulekoormus_en(G$5,Qt,ht,zo,G$4,JaideJ,jaitetegur R_3))^2)</f>
        <v>8.4373549546642501E-2</v>
      </c>
      <c r="H37" s="6">
        <f>SQRT((kaalutegur R_3*[1]!juhe(H5,6)+jaitetegur R_3*[1]!Jaitekoormus_EN(H$5,JaideJ,hj))^2+(tuuletegur R_3*[1]!Tuulekoormus_en(H$5,Qt,ht,zo,H$4,JaideJ,jaitetegur R_3))^2)</f>
        <v>8.3379835951435208E-2</v>
      </c>
      <c r="I37" s="6">
        <f>SQRT((kaalutegur R_3*[1]!juhe(I5,6)+jaitetegur R_3*[1]!Jaitekoormus_EN(I$5,JaideJ,hj))^2+(tuuletegur R_3*[1]!Tuulekoormus_en(I$5,Qt,ht,zo,I$4,JaideJ,jaitetegur R_3))^2)</f>
        <v>8.3473107804851954E-2</v>
      </c>
      <c r="J37" s="6">
        <f>SQRT((kaalutegur R_3*[1]!juhe(J5,6)+jaitetegur R_3*[1]!Jaitekoormus_EN(J$5,JaideJ,hj))^2+(tuuletegur R_3*[1]!Tuulekoormus_en(J$5,Qt,ht,zo,J$4,JaideJ,jaitetegur R_3))^2)</f>
        <v>8.3636562304156448E-2</v>
      </c>
      <c r="K37" s="6">
        <f>SQRT((kaalutegur R_3*[1]!juhe(K5,6)+jaitetegur R_3*[1]!Jaitekoormus_EN(K$5,JaideJ,hj))^2+(tuuletegur R_3*[1]!Tuulekoormus_en(K$5,Qt,ht,zo,K$4,JaideJ,jaitetegur R_3))^2)</f>
        <v>8.293823538228573E-2</v>
      </c>
      <c r="L37" s="6">
        <f>SQRT((kaalutegur R_3*[1]!juhe(L5,6)+jaitetegur R_3*[1]!Jaitekoormus_EN(L$5,JaideJ,hj))^2+(tuuletegur R_3*[1]!Tuulekoormus_en(L$5,Qt,ht,zo,L$4,JaideJ,jaitetegur R_3))^2)</f>
        <v>8.3634171029705773E-2</v>
      </c>
      <c r="M37" s="6">
        <f>SQRT((kaalutegur R_3*[1]!juhe(M5,6)+jaitetegur R_3*[1]!Jaitekoormus_EN(M$5,JaideJ,hj))^2+(tuuletegur R_3*[1]!Tuulekoormus_en(M$5,Qt,ht,zo,M$4,JaideJ,jaitetegur R_3))^2)</f>
        <v>8.2968860029200092E-2</v>
      </c>
      <c r="N37" s="6">
        <f>SQRT((kaalutegur R_3*[1]!juhe(N5,6)+jaitetegur R_3*[1]!Jaitekoormus_EN(N$5,JaideJ,hj))^2+(tuuletegur R_3*[1]!Tuulekoormus_en(N$5,Qt,ht,zo,N$4,JaideJ,jaitetegur R_3))^2)</f>
        <v>8.302368758951488E-2</v>
      </c>
      <c r="O37" s="6">
        <f>SQRT((kaalutegur R_3*[1]!juhe(O5,6)+jaitetegur R_3*[1]!Jaitekoormus_EN(O$5,JaideJ,hj))^2+(tuuletegur R_3*[1]!Tuulekoormus_en(O$5,Qt,ht,zo,O$4,JaideJ,jaitetegur R_3))^2)</f>
        <v>8.3646163583034588E-2</v>
      </c>
      <c r="P37" s="6">
        <f>SQRT((kaalutegur R_3*[1]!juhe(P5,6)+jaitetegur R_3*[1]!Jaitekoormus_EN(P$5,JaideJ,hj))^2+(tuuletegur R_3*[1]!Tuulekoormus_en(P$5,Qt,ht,zo,P$4,JaideJ,jaitetegur R_3))^2)</f>
        <v>8.4270735445607745E-2</v>
      </c>
      <c r="Q37" s="6">
        <f>SQRT((kaalutegur R_3*[1]!juhe(Q5,6)+jaitetegur R_3*[1]!Jaitekoormus_EN(Q$5,JaideJ,hj))^2+(tuuletegur R_3*[1]!Tuulekoormus_en(Q$5,Qt,ht,zo,Q$4,JaideJ,jaitetegur R_3))^2)</f>
        <v>8.4105576828526124E-2</v>
      </c>
      <c r="R37" s="6">
        <f>SQRT((kaalutegur R_3*[1]!juhe(R5,6)+jaitetegur R_3*[1]!Jaitekoormus_EN(R$5,JaideJ,hj))^2+(tuuletegur R_3*[1]!Tuulekoormus_en(R$5,Qt,ht,zo,R$4,JaideJ,jaitetegur R_3))^2)</f>
        <v>8.3412869416859547E-2</v>
      </c>
      <c r="S37" s="6"/>
      <c r="T37" s="6"/>
      <c r="U37" s="6"/>
      <c r="V37" s="6"/>
      <c r="W37" s="6"/>
    </row>
    <row r="38" spans="1:23" x14ac:dyDescent="0.2">
      <c r="A38" s="172"/>
      <c r="B38" s="173"/>
      <c r="C38" s="76" t="s">
        <v>104</v>
      </c>
      <c r="D38" s="3">
        <f>[1]!Olekuvorrand(D$4,D$5,D$8,5,D$11,Lähteandmed!$C30,D37)</f>
        <v>177.76471376419067</v>
      </c>
      <c r="E38" s="3">
        <f>[1]!Olekuvorrand(E$4,E$5,E$8,5,E$11,Lähteandmed!$C30,E37)</f>
        <v>177.88094282150269</v>
      </c>
      <c r="F38" s="3">
        <f>[1]!Olekuvorrand(F$4,F$5,F$8,5,F$11,Lähteandmed!$C30,F37)</f>
        <v>178.50989103317261</v>
      </c>
      <c r="G38" s="3">
        <f>[1]!Olekuvorrand(G$4,G$5,G$8,5,G$11,Lähteandmed!$C30,G37)</f>
        <v>188.16334009170532</v>
      </c>
      <c r="H38" s="3">
        <f>[1]!Olekuvorrand(H$4,H$5,H$8,5,H$11,Lähteandmed!$C30,H37)</f>
        <v>179.7366738319397</v>
      </c>
      <c r="I38" s="3">
        <f>[1]!Olekuvorrand(I$4,I$5,I$8,5,I$11,Lähteandmed!$C30,I37)</f>
        <v>180.0275444984436</v>
      </c>
      <c r="J38" s="3">
        <f>[1]!Olekuvorrand(J$4,J$5,J$8,5,J$11,Lähteandmed!$C30,J37)</f>
        <v>182.850182056427</v>
      </c>
      <c r="K38" s="3">
        <f>[1]!Olekuvorrand(K$4,K$5,K$8,5,K$11,Lähteandmed!$C30,K37)</f>
        <v>164.1576886177063</v>
      </c>
      <c r="L38" s="3">
        <f>[1]!Olekuvorrand(L$4,L$5,L$8,5,L$11,Lähteandmed!$C30,L37)</f>
        <v>174.67337846755981</v>
      </c>
      <c r="M38" s="3">
        <f>[1]!Olekuvorrand(M$4,M$5,M$8,5,M$11,Lähteandmed!$C30,M37)</f>
        <v>176.60480737686157</v>
      </c>
      <c r="N38" s="3">
        <f>[1]!Olekuvorrand(N$4,N$5,N$8,5,N$11,Lähteandmed!$C30,N37)</f>
        <v>176.98997259140015</v>
      </c>
      <c r="O38" s="3">
        <f>[1]!Olekuvorrand(O$4,O$5,O$8,5,O$11,Lähteandmed!$C30,O37)</f>
        <v>182.23482370376587</v>
      </c>
      <c r="P38" s="3">
        <f>[1]!Olekuvorrand(P$4,P$5,P$8,5,P$11,Lähteandmed!$C30,P37)</f>
        <v>187.76434659957886</v>
      </c>
      <c r="Q38" s="3">
        <f>[1]!Olekuvorrand(Q$4,Q$5,Q$8,5,Q$11,Lähteandmed!$C30,Q37)</f>
        <v>187.32196092605591</v>
      </c>
      <c r="R38" s="3">
        <f>[1]!Olekuvorrand(R$4,R$5,R$8,5,R$11,Lähteandmed!$C30,R37)</f>
        <v>180.72348833084106</v>
      </c>
      <c r="S38" s="3"/>
      <c r="T38" s="3"/>
      <c r="U38" s="3"/>
      <c r="V38" s="3"/>
      <c r="W38" s="3"/>
    </row>
    <row r="39" spans="1:23" x14ac:dyDescent="0.2">
      <c r="A39" s="172"/>
      <c r="B39" s="173"/>
      <c r="C39" s="76" t="s">
        <v>105</v>
      </c>
      <c r="D39" s="3">
        <f>[1]!ripe(D38,D$11+Lähteandmed!$E30*D$13,D$4,0)</f>
        <v>7.5236873291427697</v>
      </c>
      <c r="E39" s="3">
        <f>[1]!ripe(E38,E$11+Lähteandmed!$E30*E$13,E$4,0)</f>
        <v>7.392277674755511</v>
      </c>
      <c r="F39" s="3">
        <f>[1]!ripe(F38,F$11+Lähteandmed!$E30*F$13,F$4,0)</f>
        <v>7.2633357028007159</v>
      </c>
      <c r="G39" s="3">
        <f>[1]!ripe(G38,G$11+Lähteandmed!$E30*G$13,G$4,0)</f>
        <v>4.4231133609218771</v>
      </c>
      <c r="H39" s="3">
        <f>[1]!ripe(H38,H$11+Lähteandmed!$E30*H$13,H$4,0)</f>
        <v>6.8737584251661046</v>
      </c>
      <c r="I39" s="3">
        <f>[1]!ripe(I38,I$11+Lähteandmed!$E30*I$13,I$4,0)</f>
        <v>6.61193447035087</v>
      </c>
      <c r="J39" s="3">
        <f>[1]!ripe(J38,J$11+Lähteandmed!$E30*J$13,J$4,0)</f>
        <v>6.0992538019931581</v>
      </c>
      <c r="K39" s="3">
        <f>[1]!ripe(K38,K$11+Lähteandmed!$E30*K$13,K$4,0)</f>
        <v>8.9798609119920823</v>
      </c>
      <c r="L39" s="3">
        <f>[1]!ripe(L38,L$11+Lähteandmed!$E30*L$13,L$4,0)</f>
        <v>6.3908563524552706</v>
      </c>
      <c r="M39" s="3">
        <f>[1]!ripe(M38,M$11+Lähteandmed!$E30*M$13,M$4,0)</f>
        <v>8.2451758766440992</v>
      </c>
      <c r="N39" s="3">
        <f>[1]!ripe(N38,N$11+Lähteandmed!$E30*N$13,N$4,0)</f>
        <v>8.0485530480536287</v>
      </c>
      <c r="O39" s="3">
        <f>[1]!ripe(O38,O$11+Lähteandmed!$E30*O$13,O$4,0)</f>
        <v>6.0964899270751118</v>
      </c>
      <c r="P39" s="3">
        <f>[1]!ripe(P38,P$11+Lähteandmed!$E30*P$13,P$4,0)</f>
        <v>4.6167566523964814</v>
      </c>
      <c r="Q39" s="3">
        <f>[1]!ripe(Q38,Q$11+Lähteandmed!$E30*Q$13,Q$4,0)</f>
        <v>4.9408774048345725</v>
      </c>
      <c r="R39" s="3">
        <f>[1]!ripe(R38,R$11+Lähteandmed!$E30*R$13,R$4,0)</f>
        <v>6.7466847005350354</v>
      </c>
      <c r="S39" s="3"/>
      <c r="T39" s="3"/>
      <c r="U39" s="3"/>
      <c r="V39" s="3"/>
      <c r="W39" s="3"/>
    </row>
    <row r="40" spans="1:23" ht="12.75" customHeight="1" x14ac:dyDescent="0.2">
      <c r="A40" s="42"/>
      <c r="B40" s="173"/>
      <c r="C40" s="76" t="s">
        <v>49</v>
      </c>
      <c r="D40" s="50">
        <f t="shared" ref="D40:K40" si="35">D39/D$4^2*1000000</f>
        <v>37.61995200504829</v>
      </c>
      <c r="E40" s="50">
        <f t="shared" ref="E40:R40" si="36">E39/E$4^2*1000000</f>
        <v>37.59537077960438</v>
      </c>
      <c r="F40" s="50">
        <f t="shared" si="36"/>
        <v>37.46291010147587</v>
      </c>
      <c r="G40" s="50">
        <f t="shared" si="36"/>
        <v>35.540929475107674</v>
      </c>
      <c r="H40" s="50">
        <f t="shared" si="36"/>
        <v>37.207209065485742</v>
      </c>
      <c r="I40" s="50">
        <f t="shared" si="36"/>
        <v>37.147093344139989</v>
      </c>
      <c r="J40" s="50">
        <f t="shared" si="36"/>
        <v>36.573657870005604</v>
      </c>
      <c r="K40" s="50">
        <f t="shared" si="36"/>
        <v>40.738268528950741</v>
      </c>
      <c r="L40" s="50">
        <f t="shared" si="36"/>
        <v>38.285742559459322</v>
      </c>
      <c r="M40" s="50">
        <f t="shared" si="36"/>
        <v>37.867032609873249</v>
      </c>
      <c r="N40" s="50">
        <f t="shared" si="36"/>
        <v>37.784626451345879</v>
      </c>
      <c r="O40" s="50">
        <f t="shared" si="36"/>
        <v>36.697157349415001</v>
      </c>
      <c r="P40" s="50">
        <f t="shared" si="36"/>
        <v>35.616452862915345</v>
      </c>
      <c r="Q40" s="50">
        <f t="shared" si="36"/>
        <v>35.700565843637769</v>
      </c>
      <c r="R40" s="50">
        <f t="shared" si="36"/>
        <v>37.00404447571055</v>
      </c>
      <c r="S40" s="50"/>
      <c r="T40" s="50"/>
      <c r="U40" s="50"/>
      <c r="V40" s="50"/>
      <c r="W40" s="50"/>
    </row>
    <row r="41" spans="1:23" ht="38.25" x14ac:dyDescent="0.2">
      <c r="A41" s="159">
        <v>4</v>
      </c>
      <c r="B41" s="174" t="str">
        <f>Lähteandmed!B33</f>
        <v>Piirjäitekoormus</v>
      </c>
      <c r="C41" s="77" t="s">
        <v>222</v>
      </c>
      <c r="D41" s="9">
        <f>SQRT((kaalutegur R_4*[1]!juhe(D5,6)+jaitetegur R_4*[1]!Jaitekoormus_EN(D$5,JaideJ,hj))^2+(tuuletegur R_4*[1]!Tuulekoormus_en(D$5,Qt,ht,zo,D$4,JaideJ,jaitetegur R_4))^2)</f>
        <v>0.18591295107627881</v>
      </c>
      <c r="E41" s="9">
        <f>SQRT((kaalutegur R_4*[1]!juhe(E5,6)+jaitetegur R_4*[1]!Jaitekoormus_EN(E$5,JaideJ,hj))^2+(tuuletegur R_4*[1]!Tuulekoormus_en(E$5,Qt,ht,zo,E$4,JaideJ,jaitetegur R_4))^2)</f>
        <v>0.18591295107627881</v>
      </c>
      <c r="F41" s="9">
        <f>SQRT((kaalutegur R_4*[1]!juhe(F5,6)+jaitetegur R_4*[1]!Jaitekoormus_EN(F$5,JaideJ,hj))^2+(tuuletegur R_4*[1]!Tuulekoormus_en(F$5,Qt,ht,zo,F$4,JaideJ,jaitetegur R_4))^2)</f>
        <v>0.18591295107627881</v>
      </c>
      <c r="G41" s="9">
        <f>SQRT((kaalutegur R_4*[1]!juhe(G5,6)+jaitetegur R_4*[1]!Jaitekoormus_EN(G$5,JaideJ,hj))^2+(tuuletegur R_4*[1]!Tuulekoormus_en(G$5,Qt,ht,zo,G$4,JaideJ,jaitetegur R_4))^2)</f>
        <v>0.18591295107627881</v>
      </c>
      <c r="H41" s="9">
        <f>SQRT((kaalutegur R_4*[1]!juhe(H5,6)+jaitetegur R_4*[1]!Jaitekoormus_EN(H$5,JaideJ,hj))^2+(tuuletegur R_4*[1]!Tuulekoormus_en(H$5,Qt,ht,zo,H$4,JaideJ,jaitetegur R_4))^2)</f>
        <v>0.18591295107627881</v>
      </c>
      <c r="I41" s="9">
        <f>SQRT((kaalutegur R_4*[1]!juhe(I5,6)+jaitetegur R_4*[1]!Jaitekoormus_EN(I$5,JaideJ,hj))^2+(tuuletegur R_4*[1]!Tuulekoormus_en(I$5,Qt,ht,zo,I$4,JaideJ,jaitetegur R_4))^2)</f>
        <v>0.18591295107627881</v>
      </c>
      <c r="J41" s="9">
        <f>SQRT((kaalutegur R_4*[1]!juhe(J5,6)+jaitetegur R_4*[1]!Jaitekoormus_EN(J$5,JaideJ,hj))^2+(tuuletegur R_4*[1]!Tuulekoormus_en(J$5,Qt,ht,zo,J$4,JaideJ,jaitetegur R_4))^2)</f>
        <v>0.18591295107627881</v>
      </c>
      <c r="K41" s="9">
        <f>SQRT((kaalutegur R_4*[1]!juhe(K5,6)+jaitetegur R_4*[1]!Jaitekoormus_EN(K$5,JaideJ,hj))^2+(tuuletegur R_4*[1]!Tuulekoormus_en(K$5,Qt,ht,zo,K$4,JaideJ,jaitetegur R_4))^2)</f>
        <v>0.18591295107627881</v>
      </c>
      <c r="L41" s="9">
        <f>SQRT((kaalutegur R_4*[1]!juhe(L5,6)+jaitetegur R_4*[1]!Jaitekoormus_EN(L$5,JaideJ,hj))^2+(tuuletegur R_4*[1]!Tuulekoormus_en(L$5,Qt,ht,zo,L$4,JaideJ,jaitetegur R_4))^2)</f>
        <v>0.18591295107627881</v>
      </c>
      <c r="M41" s="9">
        <f>SQRT((kaalutegur R_4*[1]!juhe(M5,6)+jaitetegur R_4*[1]!Jaitekoormus_EN(M$5,JaideJ,hj))^2+(tuuletegur R_4*[1]!Tuulekoormus_en(M$5,Qt,ht,zo,M$4,JaideJ,jaitetegur R_4))^2)</f>
        <v>0.18591295107627881</v>
      </c>
      <c r="N41" s="9">
        <f>SQRT((kaalutegur R_4*[1]!juhe(N5,6)+jaitetegur R_4*[1]!Jaitekoormus_EN(N$5,JaideJ,hj))^2+(tuuletegur R_4*[1]!Tuulekoormus_en(N$5,Qt,ht,zo,N$4,JaideJ,jaitetegur R_4))^2)</f>
        <v>0.18591295107627881</v>
      </c>
      <c r="O41" s="9">
        <f>SQRT((kaalutegur R_4*[1]!juhe(O5,6)+jaitetegur R_4*[1]!Jaitekoormus_EN(O$5,JaideJ,hj))^2+(tuuletegur R_4*[1]!Tuulekoormus_en(O$5,Qt,ht,zo,O$4,JaideJ,jaitetegur R_4))^2)</f>
        <v>0.18591295107627881</v>
      </c>
      <c r="P41" s="9">
        <f>SQRT((kaalutegur R_4*[1]!juhe(P5,6)+jaitetegur R_4*[1]!Jaitekoormus_EN(P$5,JaideJ,hj))^2+(tuuletegur R_4*[1]!Tuulekoormus_en(P$5,Qt,ht,zo,P$4,JaideJ,jaitetegur R_4))^2)</f>
        <v>0.18591295107627881</v>
      </c>
      <c r="Q41" s="9">
        <f>SQRT((kaalutegur R_4*[1]!juhe(Q5,6)+jaitetegur R_4*[1]!Jaitekoormus_EN(Q$5,JaideJ,hj))^2+(tuuletegur R_4*[1]!Tuulekoormus_en(Q$5,Qt,ht,zo,Q$4,JaideJ,jaitetegur R_4))^2)</f>
        <v>0.18591295107627881</v>
      </c>
      <c r="R41" s="9">
        <f>SQRT((kaalutegur R_4*[1]!juhe(R5,6)+jaitetegur R_4*[1]!Jaitekoormus_EN(R$5,JaideJ,hj))^2+(tuuletegur R_4*[1]!Tuulekoormus_en(R$5,Qt,ht,zo,R$4,JaideJ,jaitetegur R_4))^2)</f>
        <v>0.18591295107627881</v>
      </c>
      <c r="S41" s="9"/>
      <c r="T41" s="9"/>
      <c r="U41" s="9"/>
      <c r="V41" s="9"/>
      <c r="W41" s="9"/>
    </row>
    <row r="42" spans="1:23" x14ac:dyDescent="0.2">
      <c r="A42" s="159"/>
      <c r="B42" s="174"/>
      <c r="C42" s="77" t="s">
        <v>104</v>
      </c>
      <c r="D42" s="22">
        <f>[1]!Olekuvorrand(D$4,D$5,D$8,5,D$11,Lähteandmed!$C33,D41)</f>
        <v>322.72356748580933</v>
      </c>
      <c r="E42" s="22">
        <f>[1]!Olekuvorrand(E$4,E$5,E$8,5,E$11,Lähteandmed!$C33,E41)</f>
        <v>322.07411527633667</v>
      </c>
      <c r="F42" s="22">
        <f>[1]!Olekuvorrand(F$4,F$5,F$8,5,F$11,Lähteandmed!$C33,F41)</f>
        <v>322.13813066482544</v>
      </c>
      <c r="G42" s="22">
        <f>[1]!Olekuvorrand(G$4,G$5,G$8,5,G$11,Lähteandmed!$C33,G41)</f>
        <v>310.70750951766968</v>
      </c>
      <c r="H42" s="22">
        <f>[1]!Olekuvorrand(H$4,H$5,H$8,5,H$11,Lähteandmed!$C33,H41)</f>
        <v>321.25753164291382</v>
      </c>
      <c r="I42" s="22">
        <f>[1]!Olekuvorrand(I$4,I$5,I$8,5,I$11,Lähteandmed!$C33,I41)</f>
        <v>319.82463598251343</v>
      </c>
      <c r="J42" s="22">
        <f>[1]!Olekuvorrand(J$4,J$5,J$8,5,J$11,Lähteandmed!$C33,J41)</f>
        <v>319.75430250167847</v>
      </c>
      <c r="K42" s="22">
        <f>[1]!Olekuvorrand(K$4,K$5,K$8,5,K$11,Lähteandmed!$C33,K41)</f>
        <v>310.48399209976196</v>
      </c>
      <c r="L42" s="22">
        <f>[1]!Olekuvorrand(L$4,L$5,L$8,5,L$11,Lähteandmed!$C33,L41)</f>
        <v>310.95486879348755</v>
      </c>
      <c r="M42" s="22">
        <f>[1]!Olekuvorrand(M$4,M$5,M$8,5,M$11,Lähteandmed!$C33,M41)</f>
        <v>325.25497674942017</v>
      </c>
      <c r="N42" s="22">
        <f>[1]!Olekuvorrand(N$4,N$5,N$8,5,N$11,Lähteandmed!$C33,N41)</f>
        <v>324.71245527267456</v>
      </c>
      <c r="O42" s="22">
        <f>[1]!Olekuvorrand(O$4,O$5,O$8,5,O$11,Lähteandmed!$C33,O41)</f>
        <v>318.91769170761108</v>
      </c>
      <c r="P42" s="22">
        <f>[1]!Olekuvorrand(P$4,P$5,P$8,5,P$11,Lähteandmed!$C33,P41)</f>
        <v>312.3512864112854</v>
      </c>
      <c r="Q42" s="22">
        <f>[1]!Olekuvorrand(Q$4,Q$5,Q$8,5,Q$11,Lähteandmed!$C33,Q41)</f>
        <v>315.17571210861206</v>
      </c>
      <c r="R42" s="22">
        <f>[1]!Olekuvorrand(R$4,R$5,R$8,5,R$11,Lähteandmed!$C33,R41)</f>
        <v>321.72542810440063</v>
      </c>
      <c r="S42" s="22"/>
      <c r="T42" s="22"/>
      <c r="U42" s="22"/>
      <c r="V42" s="22"/>
      <c r="W42" s="22"/>
    </row>
    <row r="43" spans="1:23" ht="12.75" customHeight="1" x14ac:dyDescent="0.2">
      <c r="A43" s="159"/>
      <c r="B43" s="174"/>
      <c r="C43" s="77" t="s">
        <v>105</v>
      </c>
      <c r="D43" s="9">
        <f>[1]!ripe(D42,D$11+Lähteandmed!$E33*D$13,D$4,0)</f>
        <v>14.401292708042925</v>
      </c>
      <c r="E43" s="9">
        <f>[1]!ripe(E42,E$11+Lähteandmed!$E33*E$13,E$4,0)</f>
        <v>14.187560767199017</v>
      </c>
      <c r="F43" s="9">
        <f>[1]!ripe(F42,F$11+Lähteandmed!$E33*F$13,F$4,0)</f>
        <v>13.986599220368959</v>
      </c>
      <c r="G43" s="9">
        <f>[1]!ripe(G42,G$11+Lähteandmed!$E33*G$13,G$4,0)</f>
        <v>9.3082319433141461</v>
      </c>
      <c r="H43" s="9">
        <f>[1]!ripe(H42,H$11+Lähteandmed!$E33*H$13,H$4,0)</f>
        <v>13.363909007809958</v>
      </c>
      <c r="I43" s="9">
        <f>[1]!ripe(I42,I$11+Lähteandmed!$E33*I$13,I$4,0)</f>
        <v>12.933362403346125</v>
      </c>
      <c r="J43" s="9">
        <f>[1]!ripe(J42,J$11+Lähteandmed!$E33*J$13,J$4,0)</f>
        <v>12.120249733551166</v>
      </c>
      <c r="K43" s="9">
        <f>[1]!ripe(K42,K$11+Lähteandmed!$E33*K$13,K$4,0)</f>
        <v>16.498614964924734</v>
      </c>
      <c r="L43" s="9">
        <f>[1]!ripe(L42,L$11+Lähteandmed!$E33*L$13,L$4,0)</f>
        <v>12.475106955674853</v>
      </c>
      <c r="M43" s="9">
        <f>[1]!ripe(M42,M$11+Lähteandmed!$E33*M$13,M$4,0)</f>
        <v>15.557304692167282</v>
      </c>
      <c r="N43" s="9">
        <f>[1]!ripe(N42,N$11+Lähteandmed!$E33*N$13,N$4,0)</f>
        <v>15.244858158018022</v>
      </c>
      <c r="O43" s="9">
        <f>[1]!ripe(O42,O$11+Lähteandmed!$E33*O$13,O$4,0)</f>
        <v>12.105660278844242</v>
      </c>
      <c r="P43" s="9">
        <f>[1]!ripe(P42,P$11+Lähteandmed!$E33*P$13,P$4,0)</f>
        <v>9.644121600620327</v>
      </c>
      <c r="Q43" s="9">
        <f>[1]!ripe(Q42,Q$11+Lähteandmed!$E33*Q$13,Q$4,0)</f>
        <v>10.204597827228088</v>
      </c>
      <c r="R43" s="9">
        <f>[1]!ripe(R42,R$11+Lähteandmed!$E33*R$13,R$4,0)</f>
        <v>13.169688120190447</v>
      </c>
      <c r="S43" s="9"/>
      <c r="T43" s="9"/>
      <c r="U43" s="9"/>
      <c r="V43" s="9"/>
      <c r="W43" s="9"/>
    </row>
    <row r="44" spans="1:23" x14ac:dyDescent="0.2">
      <c r="A44" s="39"/>
      <c r="B44" s="174"/>
      <c r="C44" s="77" t="s">
        <v>49</v>
      </c>
      <c r="D44" s="51">
        <f t="shared" ref="D44:K44" si="37">D43/D$4^2*1000000</f>
        <v>72.009364130361234</v>
      </c>
      <c r="E44" s="51">
        <f t="shared" ref="E44:R44" si="38">E43/E$4^2*1000000</f>
        <v>72.154568722779544</v>
      </c>
      <c r="F44" s="51">
        <f t="shared" si="38"/>
        <v>72.140230144671747</v>
      </c>
      <c r="G44" s="51">
        <f t="shared" si="38"/>
        <v>74.794197670376107</v>
      </c>
      <c r="H44" s="51">
        <f t="shared" si="38"/>
        <v>72.337973729953646</v>
      </c>
      <c r="I44" s="51">
        <f t="shared" si="38"/>
        <v>72.662066238716704</v>
      </c>
      <c r="J44" s="51">
        <f t="shared" si="38"/>
        <v>72.678049060537234</v>
      </c>
      <c r="K44" s="51">
        <f t="shared" si="38"/>
        <v>74.848042011350657</v>
      </c>
      <c r="L44" s="51">
        <f t="shared" si="38"/>
        <v>74.734700166307718</v>
      </c>
      <c r="M44" s="51">
        <f t="shared" si="38"/>
        <v>71.44892636781546</v>
      </c>
      <c r="N44" s="51">
        <f t="shared" si="38"/>
        <v>71.568301453111786</v>
      </c>
      <c r="O44" s="51">
        <f t="shared" si="38"/>
        <v>72.868704022355871</v>
      </c>
      <c r="P44" s="51">
        <f t="shared" si="38"/>
        <v>74.400586440790192</v>
      </c>
      <c r="Q44" s="51">
        <f t="shared" si="38"/>
        <v>73.733850648131366</v>
      </c>
      <c r="R44" s="51">
        <f t="shared" si="38"/>
        <v>72.23277010293917</v>
      </c>
      <c r="S44" s="51"/>
      <c r="T44" s="51"/>
      <c r="U44" s="51"/>
      <c r="V44" s="51"/>
      <c r="W44" s="51"/>
    </row>
    <row r="45" spans="1:23" ht="38.25" x14ac:dyDescent="0.2">
      <c r="A45" s="172">
        <v>5</v>
      </c>
      <c r="B45" s="173" t="str">
        <f>Lähteandmed!B36</f>
        <v>Piirjäitekoormus + vähend tuul</v>
      </c>
      <c r="C45" s="76" t="s">
        <v>222</v>
      </c>
      <c r="D45" s="6">
        <f>SQRT((kaalutegur R_5*[1]!juhe(D5,6)+jaitetegur R_5*[1]!Jaitekoormus_EN(D$5,JaideJ,hj))^2+(tuuletegur R_5*[1]!Tuulekoormus_en(D$5,Qt,ht,zo,D$4,JaideJ,jaitetegur R_5))^2)</f>
        <v>0.27170574936407754</v>
      </c>
      <c r="E45" s="6">
        <f>SQRT((kaalutegur R_5*[1]!juhe(E5,6)+jaitetegur R_5*[1]!Jaitekoormus_EN(E$5,JaideJ,hj))^2+(tuuletegur R_5*[1]!Tuulekoormus_en(E$5,Qt,ht,zo,E$4,JaideJ,jaitetegur R_5))^2)</f>
        <v>0.27183149176390808</v>
      </c>
      <c r="F45" s="6">
        <f>SQRT((kaalutegur R_5*[1]!juhe(F5,6)+jaitetegur R_5*[1]!Jaitekoormus_EN(F$5,JaideJ,hj))^2+(tuuletegur R_5*[1]!Tuulekoormus_en(F$5,Qt,ht,zo,F$4,JaideJ,jaitetegur R_5))^2)</f>
        <v>0.27193578330044554</v>
      </c>
      <c r="G45" s="6">
        <f>SQRT((kaalutegur R_5*[1]!juhe(G5,6)+jaitetegur R_5*[1]!Jaitekoormus_EN(G$5,JaideJ,hj))^2+(tuuletegur R_5*[1]!Tuulekoormus_en(G$5,Qt,ht,zo,G$4,JaideJ,jaitetegur R_5))^2)</f>
        <v>0.27524032923378006</v>
      </c>
      <c r="H45" s="6">
        <f>SQRT((kaalutegur R_5*[1]!juhe(H5,6)+jaitetegur R_5*[1]!Jaitekoormus_EN(H$5,JaideJ,hj))^2+(tuuletegur R_5*[1]!Tuulekoormus_en(H$5,Qt,ht,zo,H$4,JaideJ,jaitetegur R_5))^2)</f>
        <v>0.27229398454395048</v>
      </c>
      <c r="I45" s="6">
        <f>SQRT((kaalutegur R_5*[1]!juhe(I5,6)+jaitetegur R_5*[1]!Jaitekoormus_EN(I$5,JaideJ,hj))^2+(tuuletegur R_5*[1]!Tuulekoormus_en(I$5,Qt,ht,zo,I$4,JaideJ,jaitetegur R_5))^2)</f>
        <v>0.27257039752234613</v>
      </c>
      <c r="J45" s="6">
        <f>SQRT((kaalutegur R_5*[1]!juhe(J5,6)+jaitetegur R_5*[1]!Jaitekoormus_EN(J$5,JaideJ,hj))^2+(tuuletegur R_5*[1]!Tuulekoormus_en(J$5,Qt,ht,zo,J$4,JaideJ,jaitetegur R_5))^2)</f>
        <v>0.27305486693127251</v>
      </c>
      <c r="K45" s="6">
        <f>SQRT((kaalutegur R_5*[1]!juhe(K5,6)+jaitetegur R_5*[1]!Jaitekoormus_EN(K$5,JaideJ,hj))^2+(tuuletegur R_5*[1]!Tuulekoormus_en(K$5,Qt,ht,zo,K$4,JaideJ,jaitetegur R_5))^2)</f>
        <v>0.27098568261207828</v>
      </c>
      <c r="L45" s="6">
        <f>SQRT((kaalutegur R_5*[1]!juhe(L5,6)+jaitetegur R_5*[1]!Jaitekoormus_EN(L$5,JaideJ,hj))^2+(tuuletegur R_5*[1]!Tuulekoormus_en(L$5,Qt,ht,zo,L$4,JaideJ,jaitetegur R_5))^2)</f>
        <v>0.27304777870661967</v>
      </c>
      <c r="M45" s="6">
        <f>SQRT((kaalutegur R_5*[1]!juhe(M5,6)+jaitetegur R_5*[1]!Jaitekoormus_EN(M$5,JaideJ,hj))^2+(tuuletegur R_5*[1]!Tuulekoormus_en(M$5,Qt,ht,zo,M$4,JaideJ,jaitetegur R_5))^2)</f>
        <v>0.27107639140699236</v>
      </c>
      <c r="N45" s="6">
        <f>SQRT((kaalutegur R_5*[1]!juhe(N5,6)+jaitetegur R_5*[1]!Jaitekoormus_EN(N$5,JaideJ,hj))^2+(tuuletegur R_5*[1]!Tuulekoormus_en(N$5,Qt,ht,zo,N$4,JaideJ,jaitetegur R_5))^2)</f>
        <v>0.27123879592778466</v>
      </c>
      <c r="O45" s="6">
        <f>SQRT((kaalutegur R_5*[1]!juhe(O5,6)+jaitetegur R_5*[1]!Jaitekoormus_EN(O$5,JaideJ,hj))^2+(tuuletegur R_5*[1]!Tuulekoormus_en(O$5,Qt,ht,zo,O$4,JaideJ,jaitetegur R_5))^2)</f>
        <v>0.2730833272658002</v>
      </c>
      <c r="P45" s="6">
        <f>SQRT((kaalutegur R_5*[1]!juhe(P5,6)+jaitetegur R_5*[1]!Jaitekoormus_EN(P$5,JaideJ,hj))^2+(tuuletegur R_5*[1]!Tuulekoormus_en(P$5,Qt,ht,zo,P$4,JaideJ,jaitetegur R_5))^2)</f>
        <v>0.27493533944407894</v>
      </c>
      <c r="Q45" s="6">
        <f>SQRT((kaalutegur R_5*[1]!juhe(Q5,6)+jaitetegur R_5*[1]!Jaitekoormus_EN(Q$5,JaideJ,hj))^2+(tuuletegur R_5*[1]!Tuulekoormus_en(Q$5,Qt,ht,zo,Q$4,JaideJ,jaitetegur R_5))^2)</f>
        <v>0.27444548042606604</v>
      </c>
      <c r="R45" s="6">
        <f>SQRT((kaalutegur R_5*[1]!juhe(R5,6)+jaitetegur R_5*[1]!Jaitekoormus_EN(R$5,JaideJ,hj))^2+(tuuletegur R_5*[1]!Tuulekoormus_en(R$5,Qt,ht,zo,R$4,JaideJ,jaitetegur R_5))^2)</f>
        <v>0.27239187660147196</v>
      </c>
      <c r="S45" s="6"/>
      <c r="T45" s="6"/>
      <c r="U45" s="6"/>
      <c r="V45" s="6"/>
      <c r="W45" s="6"/>
    </row>
    <row r="46" spans="1:23" x14ac:dyDescent="0.2">
      <c r="A46" s="172"/>
      <c r="B46" s="173"/>
      <c r="C46" s="76" t="s">
        <v>104</v>
      </c>
      <c r="D46" s="3">
        <f>[1]!Olekuvorrand(D$4,D$5,D$8,5,D$11,Lähteandmed!$C36,D45)</f>
        <v>427.8455376625061</v>
      </c>
      <c r="E46" s="3">
        <f>[1]!Olekuvorrand(E$4,E$5,E$8,5,E$11,Lähteandmed!$C36,E45)</f>
        <v>426.82522535324097</v>
      </c>
      <c r="F46" s="3">
        <f>[1]!Olekuvorrand(F$4,F$5,F$8,5,F$11,Lähteandmed!$C36,F45)</f>
        <v>426.61887407302856</v>
      </c>
      <c r="G46" s="3">
        <f>[1]!Olekuvorrand(G$4,G$5,G$8,5,G$11,Lähteandmed!$C36,G45)</f>
        <v>405.25799989700317</v>
      </c>
      <c r="H46" s="3">
        <f>[1]!Olekuvorrand(H$4,H$5,H$8,5,H$11,Lähteandmed!$C36,H45)</f>
        <v>424.72761869430542</v>
      </c>
      <c r="I46" s="3">
        <f>[1]!Olekuvorrand(I$4,I$5,I$8,5,I$11,Lähteandmed!$C36,I45)</f>
        <v>422.46419191360474</v>
      </c>
      <c r="J46" s="3">
        <f>[1]!Olekuvorrand(J$4,J$5,J$8,5,J$11,Lähteandmed!$C36,J45)</f>
        <v>421.03677988052368</v>
      </c>
      <c r="K46" s="3">
        <f>[1]!Olekuvorrand(K$4,K$5,K$8,5,K$11,Lähteandmed!$C36,K45)</f>
        <v>416.27722978591919</v>
      </c>
      <c r="L46" s="3">
        <f>[1]!Olekuvorrand(L$4,L$5,L$8,5,L$11,Lähteandmed!$C36,L45)</f>
        <v>411.82976961135864</v>
      </c>
      <c r="M46" s="3">
        <f>[1]!Olekuvorrand(M$4,M$5,M$8,5,M$11,Lähteandmed!$C36,M45)</f>
        <v>432.16568231582642</v>
      </c>
      <c r="N46" s="3">
        <f>[1]!Olekuvorrand(N$4,N$5,N$8,5,N$11,Lähteandmed!$C36,N45)</f>
        <v>431.17326498031616</v>
      </c>
      <c r="O46" s="3">
        <f>[1]!Olekuvorrand(O$4,O$5,O$8,5,O$11,Lähteandmed!$C36,O45)</f>
        <v>420.08429765701294</v>
      </c>
      <c r="P46" s="3">
        <f>[1]!Olekuvorrand(P$4,P$5,P$8,5,P$11,Lähteandmed!$C36,P45)</f>
        <v>407.85974264144897</v>
      </c>
      <c r="Q46" s="3">
        <f>[1]!Olekuvorrand(Q$4,Q$5,Q$8,5,Q$11,Lähteandmed!$C36,Q45)</f>
        <v>412.22470998764038</v>
      </c>
      <c r="R46" s="3">
        <f>[1]!Olekuvorrand(R$4,R$5,R$8,5,R$11,Lähteandmed!$C36,R45)</f>
        <v>424.95423555374146</v>
      </c>
      <c r="S46" s="3"/>
      <c r="T46" s="3"/>
      <c r="U46" s="3"/>
      <c r="V46" s="3"/>
      <c r="W46" s="3"/>
    </row>
    <row r="47" spans="1:23" x14ac:dyDescent="0.2">
      <c r="A47" s="172"/>
      <c r="B47" s="173"/>
      <c r="C47" s="76" t="s">
        <v>105</v>
      </c>
      <c r="D47" s="3">
        <f>[1]!ripe(D46,D$11+Lähteandmed!$E36*D$13,D$4,0)</f>
        <v>10.862884265520007</v>
      </c>
      <c r="E47" s="3">
        <f>[1]!ripe(E46,E$11+Lähteandmed!$E36*E$13,E$4,0)</f>
        <v>10.705660796508008</v>
      </c>
      <c r="F47" s="3">
        <f>[1]!ripe(F46,F$11+Lähteandmed!$E36*F$13,F$4,0)</f>
        <v>10.56122267679252</v>
      </c>
      <c r="G47" s="3">
        <f>[1]!ripe(G46,G$11+Lähteandmed!$E36*G$13,G$4,0)</f>
        <v>7.1365341729342724</v>
      </c>
      <c r="H47" s="3">
        <f>[1]!ripe(H46,H$11+Lähteandmed!$E36*H$13,H$4,0)</f>
        <v>10.108258168253402</v>
      </c>
      <c r="I47" s="3">
        <f>[1]!ripe(I46,I$11+Lähteandmed!$E36*I$13,I$4,0)</f>
        <v>9.7911444374580459</v>
      </c>
      <c r="J47" s="3">
        <f>[1]!ripe(J46,J$11+Lähteandmed!$E36*J$13,J$4,0)</f>
        <v>9.2046637844740005</v>
      </c>
      <c r="K47" s="3">
        <f>[1]!ripe(K46,K$11+Lähteandmed!$E36*K$13,K$4,0)</f>
        <v>12.305635456114443</v>
      </c>
      <c r="L47" s="3">
        <f>[1]!ripe(L46,L$11+Lähteandmed!$E36*L$13,L$4,0)</f>
        <v>9.4194143620248045</v>
      </c>
      <c r="M47" s="3">
        <f>[1]!ripe(M46,M$11+Lähteandmed!$E36*M$13,M$4,0)</f>
        <v>11.708682533095267</v>
      </c>
      <c r="N47" s="3">
        <f>[1]!ripe(N46,N$11+Lähteandmed!$E36*N$13,N$4,0)</f>
        <v>11.480756635037844</v>
      </c>
      <c r="O47" s="3">
        <f>[1]!ripe(O46,O$11+Lähteandmed!$E36*O$13,O$4,0)</f>
        <v>9.190320262524267</v>
      </c>
      <c r="P47" s="3">
        <f>[1]!ripe(P46,P$11+Lähteandmed!$E36*P$13,P$4,0)</f>
        <v>7.3857590571492002</v>
      </c>
      <c r="Q47" s="3">
        <f>[1]!ripe(Q46,Q$11+Lähteandmed!$E36*Q$13,Q$4,0)</f>
        <v>7.802155739463168</v>
      </c>
      <c r="R47" s="3">
        <f>[1]!ripe(R46,R$11+Lähteandmed!$E36*R$13,R$4,0)</f>
        <v>9.9705408111737217</v>
      </c>
      <c r="S47" s="3"/>
      <c r="T47" s="3"/>
      <c r="U47" s="3"/>
      <c r="V47" s="3"/>
      <c r="W47" s="3"/>
    </row>
    <row r="48" spans="1:23" x14ac:dyDescent="0.2">
      <c r="A48" s="42"/>
      <c r="B48" s="173"/>
      <c r="C48" s="76" t="s">
        <v>49</v>
      </c>
      <c r="D48" s="50">
        <f t="shared" ref="D48:K48" si="39">D47/D$4^2*1000000</f>
        <v>54.316609240567509</v>
      </c>
      <c r="E48" s="50">
        <f t="shared" ref="E48:R48" si="40">E47/E$4^2*1000000</f>
        <v>54.446451390735248</v>
      </c>
      <c r="F48" s="50">
        <f t="shared" si="40"/>
        <v>54.472786594427092</v>
      </c>
      <c r="G48" s="50">
        <f t="shared" si="40"/>
        <v>57.344010211867761</v>
      </c>
      <c r="H48" s="50">
        <f t="shared" si="40"/>
        <v>54.71534664022176</v>
      </c>
      <c r="I48" s="50">
        <f t="shared" si="40"/>
        <v>55.008493806943342</v>
      </c>
      <c r="J48" s="50">
        <f t="shared" si="40"/>
        <v>55.194985319642022</v>
      </c>
      <c r="K48" s="50">
        <f t="shared" si="40"/>
        <v>55.826063069762768</v>
      </c>
      <c r="L48" s="50">
        <f t="shared" si="40"/>
        <v>56.428943702796111</v>
      </c>
      <c r="M48" s="50">
        <f t="shared" si="40"/>
        <v>53.773633204757154</v>
      </c>
      <c r="N48" s="50">
        <f t="shared" si="40"/>
        <v>53.89740220928531</v>
      </c>
      <c r="O48" s="50">
        <f t="shared" si="40"/>
        <v>55.320132207152724</v>
      </c>
      <c r="P48" s="50">
        <f t="shared" si="40"/>
        <v>56.978212005013816</v>
      </c>
      <c r="Q48" s="50">
        <f t="shared" si="40"/>
        <v>56.374880790701809</v>
      </c>
      <c r="R48" s="50">
        <f t="shared" si="40"/>
        <v>54.686168392351355</v>
      </c>
      <c r="S48" s="50"/>
      <c r="T48" s="50"/>
      <c r="U48" s="50"/>
      <c r="V48" s="50"/>
      <c r="W48" s="50"/>
    </row>
    <row r="49" spans="1:23" ht="38.25" x14ac:dyDescent="0.2">
      <c r="A49" s="159">
        <v>6</v>
      </c>
      <c r="B49" s="174" t="str">
        <f>Lähteandmed!B39</f>
        <v>Suur tuul + mõõdukas jäide</v>
      </c>
      <c r="C49" s="77" t="s">
        <v>222</v>
      </c>
      <c r="D49" s="9">
        <f>SQRT((kaalutegur R_6*[1]!juhe(D5,6)+jaitetegur R_6*[1]!Jaitekoormus_EN(D$5,JaideJ,hj))^2+(tuuletegur R_6*[1]!Tuulekoormus_en(D$5,Qt,ht,zo,D$4,JaideJ,jaitetegur R_6))^2)</f>
        <v>0.27519700122393526</v>
      </c>
      <c r="E49" s="9">
        <f>SQRT((kaalutegur R_6*[1]!juhe(E5,6)+jaitetegur R_6*[1]!Jaitekoormus_EN(E$5,JaideJ,hj))^2+(tuuletegur R_6*[1]!Tuulekoormus_en(E$5,Qt,ht,zo,E$4,JaideJ,jaitetegur R_6))^2)</f>
        <v>0.2754127303316522</v>
      </c>
      <c r="F49" s="9">
        <f>SQRT((kaalutegur R_6*[1]!juhe(F5,6)+jaitetegur R_6*[1]!Jaitekoormus_EN(F$5,JaideJ,hj))^2+(tuuletegur R_6*[1]!Tuulekoormus_en(F$5,Qt,ht,zo,F$4,JaideJ,jaitetegur R_6))^2)</f>
        <v>0.27559160494055301</v>
      </c>
      <c r="G49" s="9">
        <f>SQRT((kaalutegur R_6*[1]!juhe(G5,6)+jaitetegur R_6*[1]!Jaitekoormus_EN(G$5,JaideJ,hj))^2+(tuuletegur R_6*[1]!Tuulekoormus_en(G$5,Qt,ht,zo,G$4,JaideJ,jaitetegur R_6))^2)</f>
        <v>0.28123525820129347</v>
      </c>
      <c r="H49" s="9">
        <f>SQRT((kaalutegur R_6*[1]!juhe(H5,6)+jaitetegur R_6*[1]!Jaitekoormus_EN(H$5,JaideJ,hj))^2+(tuuletegur R_6*[1]!Tuulekoormus_en(H$5,Qt,ht,zo,H$4,JaideJ,jaitetegur R_6))^2)</f>
        <v>0.27620560930479804</v>
      </c>
      <c r="I49" s="9">
        <f>SQRT((kaalutegur R_6*[1]!juhe(I5,6)+jaitetegur R_6*[1]!Jaitekoormus_EN(I$5,JaideJ,hj))^2+(tuuletegur R_6*[1]!Tuulekoormus_en(I$5,Qt,ht,zo,I$4,JaideJ,jaitetegur R_6))^2)</f>
        <v>0.27667903726052695</v>
      </c>
      <c r="J49" s="9">
        <f>SQRT((kaalutegur R_6*[1]!juhe(J5,6)+jaitetegur R_6*[1]!Jaitekoormus_EN(J$5,JaideJ,hj))^2+(tuuletegur R_6*[1]!Tuulekoormus_en(J$5,Qt,ht,zo,J$4,JaideJ,jaitetegur R_6))^2)</f>
        <v>0.27750802103631628</v>
      </c>
      <c r="K49" s="9">
        <f>SQRT((kaalutegur R_6*[1]!juhe(K5,6)+jaitetegur R_6*[1]!Jaitekoormus_EN(K$5,JaideJ,hj))^2+(tuuletegur R_6*[1]!Tuulekoormus_en(K$5,Qt,ht,zo,K$4,JaideJ,jaitetegur R_6))^2)</f>
        <v>0.2739602835877486</v>
      </c>
      <c r="L49" s="9">
        <f>SQRT((kaalutegur R_6*[1]!juhe(L5,6)+jaitetegur R_6*[1]!Jaitekoormus_EN(L$5,JaideJ,hj))^2+(tuuletegur R_6*[1]!Tuulekoormus_en(L$5,Qt,ht,zo,L$4,JaideJ,jaitetegur R_6))^2)</f>
        <v>0.27749589951072379</v>
      </c>
      <c r="M49" s="9">
        <f>SQRT((kaalutegur R_6*[1]!juhe(M5,6)+jaitetegur R_6*[1]!Jaitekoormus_EN(M$5,JaideJ,hj))^2+(tuuletegur R_6*[1]!Tuulekoormus_en(M$5,Qt,ht,zo,M$4,JaideJ,jaitetegur R_6))^2)</f>
        <v>0.27411620251184238</v>
      </c>
      <c r="N49" s="9">
        <f>SQRT((kaalutegur R_6*[1]!juhe(N5,6)+jaitetegur R_6*[1]!Jaitekoormus_EN(N$5,JaideJ,hj))^2+(tuuletegur R_6*[1]!Tuulekoormus_en(N$5,Qt,ht,zo,N$4,JaideJ,jaitetegur R_6))^2)</f>
        <v>0.27439526775338363</v>
      </c>
      <c r="O49" s="9">
        <f>SQRT((kaalutegur R_6*[1]!juhe(O5,6)+jaitetegur R_6*[1]!Jaitekoormus_EN(O$5,JaideJ,hj))^2+(tuuletegur R_6*[1]!Tuulekoormus_en(O$5,Qt,ht,zo,O$4,JaideJ,jaitetegur R_6))^2)</f>
        <v>0.27755668870175626</v>
      </c>
      <c r="P49" s="9">
        <f>SQRT((kaalutegur R_6*[1]!juhe(P5,6)+jaitetegur R_6*[1]!Jaitekoormus_EN(P$5,JaideJ,hj))^2+(tuuletegur R_6*[1]!Tuulekoormus_en(P$5,Qt,ht,zo,P$4,JaideJ,jaitetegur R_6))^2)</f>
        <v>0.28071630358730165</v>
      </c>
      <c r="Q49" s="9">
        <f>SQRT((kaalutegur R_6*[1]!juhe(Q5,6)+jaitetegur R_6*[1]!Jaitekoormus_EN(Q$5,JaideJ,hj))^2+(tuuletegur R_6*[1]!Tuulekoormus_en(Q$5,Qt,ht,zo,Q$4,JaideJ,jaitetegur R_6))^2)</f>
        <v>0.27988198020220417</v>
      </c>
      <c r="R49" s="9">
        <f>SQRT((kaalutegur R_6*[1]!juhe(R5,6)+jaitetegur R_6*[1]!Jaitekoormus_EN(R$5,JaideJ,hj))^2+(tuuletegur R_6*[1]!Tuulekoormus_en(R$5,Qt,ht,zo,R$4,JaideJ,jaitetegur R_6))^2)</f>
        <v>0.27637331230182688</v>
      </c>
      <c r="S49" s="9"/>
      <c r="T49" s="9"/>
      <c r="U49" s="9"/>
      <c r="V49" s="9"/>
      <c r="W49" s="9"/>
    </row>
    <row r="50" spans="1:23" x14ac:dyDescent="0.2">
      <c r="A50" s="159"/>
      <c r="B50" s="174"/>
      <c r="C50" s="77" t="s">
        <v>104</v>
      </c>
      <c r="D50" s="22">
        <f>[1]!Olekuvorrand(D$4,D$5,D$8,5,D$11,Lähteandmed!$C39,D49)</f>
        <v>431.87826871871948</v>
      </c>
      <c r="E50" s="22">
        <f>[1]!Olekuvorrand(E$4,E$5,E$8,5,E$11,Lähteandmed!$C39,E49)</f>
        <v>430.94021081924438</v>
      </c>
      <c r="F50" s="22">
        <f>[1]!Olekuvorrand(F$4,F$5,F$8,5,F$11,Lähteandmed!$C39,F49)</f>
        <v>430.80240488052368</v>
      </c>
      <c r="G50" s="22">
        <f>[1]!Olekuvorrand(G$4,G$5,G$8,5,G$11,Lähteandmed!$C39,G49)</f>
        <v>411.20189428329468</v>
      </c>
      <c r="H50" s="22">
        <f>[1]!Olekuvorrand(H$4,H$5,H$8,5,H$11,Lähteandmed!$C39,H49)</f>
        <v>429.13836240768433</v>
      </c>
      <c r="I50" s="22">
        <f>[1]!Olekuvorrand(I$4,I$5,I$8,5,I$11,Lähteandmed!$C39,I49)</f>
        <v>427.04278230667114</v>
      </c>
      <c r="J50" s="22">
        <f>[1]!Olekuvorrand(J$4,J$5,J$8,5,J$11,Lähteandmed!$C39,J49)</f>
        <v>425.90099573135376</v>
      </c>
      <c r="K50" s="22">
        <f>[1]!Olekuvorrand(K$4,K$5,K$8,5,K$11,Lähteandmed!$C39,K49)</f>
        <v>419.77888345718384</v>
      </c>
      <c r="L50" s="22">
        <f>[1]!Olekuvorrand(L$4,L$5,L$8,5,L$11,Lähteandmed!$C39,L49)</f>
        <v>416.67383909225464</v>
      </c>
      <c r="M50" s="22">
        <f>[1]!Olekuvorrand(M$4,M$5,M$8,5,M$11,Lähteandmed!$C39,M49)</f>
        <v>435.76842546463013</v>
      </c>
      <c r="N50" s="22">
        <f>[1]!Olekuvorrand(N$4,N$5,N$8,5,N$11,Lähteandmed!$C39,N49)</f>
        <v>434.88997220993042</v>
      </c>
      <c r="O50" s="22">
        <f>[1]!Olekuvorrand(O$4,O$5,O$8,5,O$11,Lähteandmed!$C39,O49)</f>
        <v>424.96353387832642</v>
      </c>
      <c r="P50" s="22">
        <f>[1]!Olekuvorrand(P$4,P$5,P$8,5,P$11,Lähteandmed!$C39,P49)</f>
        <v>413.67143392562866</v>
      </c>
      <c r="Q50" s="22">
        <f>[1]!Olekuvorrand(Q$4,Q$5,Q$8,5,Q$11,Lähteandmed!$C39,Q49)</f>
        <v>417.81240701675415</v>
      </c>
      <c r="R50" s="22">
        <f>[1]!Olekuvorrand(R$4,R$5,R$8,5,R$11,Lähteandmed!$C39,R49)</f>
        <v>429.42684888839722</v>
      </c>
      <c r="S50" s="22"/>
      <c r="T50" s="22"/>
      <c r="U50" s="22"/>
      <c r="V50" s="22"/>
      <c r="W50" s="22"/>
    </row>
    <row r="51" spans="1:23" x14ac:dyDescent="0.2">
      <c r="A51" s="159"/>
      <c r="B51" s="174"/>
      <c r="C51" s="77" t="s">
        <v>105</v>
      </c>
      <c r="D51" s="9">
        <f>[1]!ripe(D50,D$11+Lähteandmed!$E39*D$13,D$4,0)</f>
        <v>5.0129721497611337</v>
      </c>
      <c r="E51" s="9">
        <f>[1]!ripe(E50,E$11+Lähteandmed!$E39*E$13,E$4,0)</f>
        <v>4.939363881239041</v>
      </c>
      <c r="F51" s="9">
        <f>[1]!ripe(F50,F$11+Lähteandmed!$E39*F$13,F$4,0)</f>
        <v>4.8719254039848066</v>
      </c>
      <c r="G51" s="9">
        <f>[1]!ripe(G50,G$11+Lähteandmed!$E39*G$13,G$4,0)</f>
        <v>3.276335171861593</v>
      </c>
      <c r="H51" s="9">
        <f>[1]!ripe(H50,H$11+Lähteandmed!$E39*H$13,H$4,0)</f>
        <v>4.6603010531721498</v>
      </c>
      <c r="I51" s="9">
        <f>[1]!ripe(I50,I$11+Lähteandmed!$E39*I$13,I$4,0)</f>
        <v>4.5120765548912019</v>
      </c>
      <c r="J51" s="9">
        <f>[1]!ripe(J50,J$11+Lähteandmed!$E39*J$13,J$4,0)</f>
        <v>4.2388084768421024</v>
      </c>
      <c r="K51" s="9">
        <f>[1]!ripe(K50,K$11+Lähteandmed!$E39*K$13,K$4,0)</f>
        <v>5.6844780959923993</v>
      </c>
      <c r="L51" s="9">
        <f>[1]!ripe(L50,L$11+Lähteandmed!$E39*L$13,L$4,0)</f>
        <v>4.3368049416578094</v>
      </c>
      <c r="M51" s="9">
        <f>[1]!ripe(M50,M$11+Lähteandmed!$E39*M$13,M$4,0)</f>
        <v>5.4091251897901822</v>
      </c>
      <c r="N51" s="9">
        <f>[1]!ripe(N50,N$11+Lähteandmed!$E39*N$13,N$4,0)</f>
        <v>5.3023382132892296</v>
      </c>
      <c r="O51" s="9">
        <f>[1]!ripe(O50,O$11+Lähteandmed!$E39*O$13,O$4,0)</f>
        <v>4.2319440142846094</v>
      </c>
      <c r="P51" s="9">
        <f>[1]!ripe(P50,P$11+Lähteandmed!$E39*P$13,P$4,0)</f>
        <v>3.3921490684858302</v>
      </c>
      <c r="Q51" s="9">
        <f>[1]!ripe(Q50,Q$11+Lähteandmed!$E39*Q$13,Q$4,0)</f>
        <v>3.5858472719102736</v>
      </c>
      <c r="R51" s="9">
        <f>[1]!ripe(R50,R$11+Lähteandmed!$E39*R$13,R$4,0)</f>
        <v>4.5961708904282519</v>
      </c>
      <c r="S51" s="9"/>
      <c r="T51" s="9"/>
      <c r="U51" s="9"/>
      <c r="V51" s="9"/>
      <c r="W51" s="9"/>
    </row>
    <row r="52" spans="1:23" x14ac:dyDescent="0.2">
      <c r="A52" s="39"/>
      <c r="B52" s="174"/>
      <c r="C52" s="77" t="s">
        <v>49</v>
      </c>
      <c r="D52" s="51">
        <f t="shared" ref="D52:K52" si="41">D51/D$4^2*1000000</f>
        <v>25.065870420500953</v>
      </c>
      <c r="E52" s="51">
        <f t="shared" ref="E52:R52" si="42">E51/E$4^2*1000000</f>
        <v>25.120433065538112</v>
      </c>
      <c r="F52" s="51">
        <f t="shared" si="42"/>
        <v>25.128468640132056</v>
      </c>
      <c r="G52" s="51">
        <f t="shared" si="42"/>
        <v>26.326252071386676</v>
      </c>
      <c r="H52" s="51">
        <f t="shared" si="42"/>
        <v>25.225907701184511</v>
      </c>
      <c r="I52" s="51">
        <f t="shared" si="42"/>
        <v>25.349696024975064</v>
      </c>
      <c r="J52" s="51">
        <f t="shared" si="42"/>
        <v>25.417655346272234</v>
      </c>
      <c r="K52" s="51">
        <f t="shared" si="42"/>
        <v>25.78834988548887</v>
      </c>
      <c r="L52" s="51">
        <f t="shared" si="42"/>
        <v>25.980524106618773</v>
      </c>
      <c r="M52" s="51">
        <f t="shared" si="42"/>
        <v>24.842104403482935</v>
      </c>
      <c r="N52" s="51">
        <f t="shared" si="42"/>
        <v>24.892284055489942</v>
      </c>
      <c r="O52" s="51">
        <f t="shared" si="42"/>
        <v>25.4737262332565</v>
      </c>
      <c r="P52" s="51">
        <f t="shared" si="42"/>
        <v>26.169089362549364</v>
      </c>
      <c r="Q52" s="51">
        <f t="shared" si="42"/>
        <v>25.909725367967869</v>
      </c>
      <c r="R52" s="51">
        <f t="shared" si="42"/>
        <v>25.208961081860771</v>
      </c>
      <c r="S52" s="51"/>
      <c r="T52" s="51"/>
      <c r="U52" s="51"/>
      <c r="V52" s="51"/>
      <c r="W52" s="51"/>
    </row>
    <row r="53" spans="1:23" ht="38.25" x14ac:dyDescent="0.2">
      <c r="A53" s="172">
        <v>7</v>
      </c>
      <c r="B53" s="173" t="str">
        <f>Lähteandmed!B42</f>
        <v>EDS</v>
      </c>
      <c r="C53" s="76" t="s">
        <v>222</v>
      </c>
      <c r="D53" s="6">
        <f>SQRT((kaalutegur R_7*[1]!juhe(D5,6)+jaitetegur R_7*[1]!Jaitekoormus_EN(D$5,JaideJ,hj))^2+(tuuletegur R_7*[1]!Tuulekoormus_en(D$5,Qt,ht,zo,D$4,JaideJ,jaitetegur R_7))^2)</f>
        <v>5.3499999999999999E-2</v>
      </c>
      <c r="E53" s="6">
        <f>SQRT((kaalutegur R_7*[1]!juhe(E5,6)+jaitetegur R_7*[1]!Jaitekoormus_EN(E$5,JaideJ,hj))^2+(tuuletegur R_7*[1]!Tuulekoormus_en(E$5,Qt,ht,zo,E$4,JaideJ,jaitetegur R_7))^2)</f>
        <v>5.3499999999999999E-2</v>
      </c>
      <c r="F53" s="6">
        <f>SQRT((kaalutegur R_7*[1]!juhe(F5,6)+jaitetegur R_7*[1]!Jaitekoormus_EN(F$5,JaideJ,hj))^2+(tuuletegur R_7*[1]!Tuulekoormus_en(F$5,Qt,ht,zo,F$4,JaideJ,jaitetegur R_7))^2)</f>
        <v>5.3499999999999999E-2</v>
      </c>
      <c r="G53" s="6">
        <f>SQRT((kaalutegur R_7*[1]!juhe(G5,6)+jaitetegur R_7*[1]!Jaitekoormus_EN(G$5,JaideJ,hj))^2+(tuuletegur R_7*[1]!Tuulekoormus_en(G$5,Qt,ht,zo,G$4,JaideJ,jaitetegur R_7))^2)</f>
        <v>5.3499999999999999E-2</v>
      </c>
      <c r="H53" s="6">
        <f>SQRT((kaalutegur R_7*[1]!juhe(H5,6)+jaitetegur R_7*[1]!Jaitekoormus_EN(H$5,JaideJ,hj))^2+(tuuletegur R_7*[1]!Tuulekoormus_en(H$5,Qt,ht,zo,H$4,JaideJ,jaitetegur R_7))^2)</f>
        <v>5.3499999999999999E-2</v>
      </c>
      <c r="I53" s="6">
        <f>SQRT((kaalutegur R_7*[1]!juhe(I5,6)+jaitetegur R_7*[1]!Jaitekoormus_EN(I$5,JaideJ,hj))^2+(tuuletegur R_7*[1]!Tuulekoormus_en(I$5,Qt,ht,zo,I$4,JaideJ,jaitetegur R_7))^2)</f>
        <v>5.3499999999999999E-2</v>
      </c>
      <c r="J53" s="6">
        <f>SQRT((kaalutegur R_7*[1]!juhe(J5,6)+jaitetegur R_7*[1]!Jaitekoormus_EN(J$5,JaideJ,hj))^2+(tuuletegur R_7*[1]!Tuulekoormus_en(J$5,Qt,ht,zo,J$4,JaideJ,jaitetegur R_7))^2)</f>
        <v>5.3499999999999999E-2</v>
      </c>
      <c r="K53" s="6">
        <f>SQRT((kaalutegur R_7*[1]!juhe(K5,6)+jaitetegur R_7*[1]!Jaitekoormus_EN(K$5,JaideJ,hj))^2+(tuuletegur R_7*[1]!Tuulekoormus_en(K$5,Qt,ht,zo,K$4,JaideJ,jaitetegur R_7))^2)</f>
        <v>5.3499999999999999E-2</v>
      </c>
      <c r="L53" s="6">
        <f>SQRT((kaalutegur R_7*[1]!juhe(L5,6)+jaitetegur R_7*[1]!Jaitekoormus_EN(L$5,JaideJ,hj))^2+(tuuletegur R_7*[1]!Tuulekoormus_en(L$5,Qt,ht,zo,L$4,JaideJ,jaitetegur R_7))^2)</f>
        <v>5.3499999999999999E-2</v>
      </c>
      <c r="M53" s="6">
        <f>SQRT((kaalutegur R_7*[1]!juhe(M5,6)+jaitetegur R_7*[1]!Jaitekoormus_EN(M$5,JaideJ,hj))^2+(tuuletegur R_7*[1]!Tuulekoormus_en(M$5,Qt,ht,zo,M$4,JaideJ,jaitetegur R_7))^2)</f>
        <v>5.3499999999999999E-2</v>
      </c>
      <c r="N53" s="6">
        <f>SQRT((kaalutegur R_7*[1]!juhe(N5,6)+jaitetegur R_7*[1]!Jaitekoormus_EN(N$5,JaideJ,hj))^2+(tuuletegur R_7*[1]!Tuulekoormus_en(N$5,Qt,ht,zo,N$4,JaideJ,jaitetegur R_7))^2)</f>
        <v>5.3499999999999999E-2</v>
      </c>
      <c r="O53" s="6">
        <f>SQRT((kaalutegur R_7*[1]!juhe(O5,6)+jaitetegur R_7*[1]!Jaitekoormus_EN(O$5,JaideJ,hj))^2+(tuuletegur R_7*[1]!Tuulekoormus_en(O$5,Qt,ht,zo,O$4,JaideJ,jaitetegur R_7))^2)</f>
        <v>5.3499999999999999E-2</v>
      </c>
      <c r="P53" s="6">
        <f>SQRT((kaalutegur R_7*[1]!juhe(P5,6)+jaitetegur R_7*[1]!Jaitekoormus_EN(P$5,JaideJ,hj))^2+(tuuletegur R_7*[1]!Tuulekoormus_en(P$5,Qt,ht,zo,P$4,JaideJ,jaitetegur R_7))^2)</f>
        <v>5.3499999999999999E-2</v>
      </c>
      <c r="Q53" s="6">
        <f>SQRT((kaalutegur R_7*[1]!juhe(Q5,6)+jaitetegur R_7*[1]!Jaitekoormus_EN(Q$5,JaideJ,hj))^2+(tuuletegur R_7*[1]!Tuulekoormus_en(Q$5,Qt,ht,zo,Q$4,JaideJ,jaitetegur R_7))^2)</f>
        <v>5.3499999999999999E-2</v>
      </c>
      <c r="R53" s="6">
        <f>SQRT((kaalutegur R_7*[1]!juhe(R5,6)+jaitetegur R_7*[1]!Jaitekoormus_EN(R$5,JaideJ,hj))^2+(tuuletegur R_7*[1]!Tuulekoormus_en(R$5,Qt,ht,zo,R$4,JaideJ,jaitetegur R_7))^2)</f>
        <v>5.3499999999999999E-2</v>
      </c>
      <c r="S53" s="6"/>
      <c r="T53" s="6"/>
      <c r="U53" s="6"/>
      <c r="V53" s="6"/>
      <c r="W53" s="6"/>
    </row>
    <row r="54" spans="1:23" x14ac:dyDescent="0.2">
      <c r="A54" s="172"/>
      <c r="B54" s="173"/>
      <c r="C54" s="76" t="s">
        <v>104</v>
      </c>
      <c r="D54" s="3">
        <f>[1]!Olekuvorrand(D$4,D$5,D$8,5,D$11,Lähteandmed!$C42,D53)</f>
        <v>117.62088537216187</v>
      </c>
      <c r="E54" s="3">
        <f>[1]!Olekuvorrand(E$4,E$5,E$8,5,E$11,Lähteandmed!$C42,E53)</f>
        <v>117.70409345626831</v>
      </c>
      <c r="F54" s="3">
        <f>[1]!Olekuvorrand(F$4,F$5,F$8,5,F$11,Lähteandmed!$C42,F53)</f>
        <v>118.17437410354614</v>
      </c>
      <c r="G54" s="3">
        <f>[1]!Olekuvorrand(G$4,G$5,G$8,5,G$11,Lähteandmed!$C42,G53)</f>
        <v>126.20753049850464</v>
      </c>
      <c r="H54" s="3">
        <f>[1]!Olekuvorrand(H$4,H$5,H$8,5,H$11,Lähteandmed!$C42,H53)</f>
        <v>119.10158395767212</v>
      </c>
      <c r="I54" s="3">
        <f>[1]!Olekuvorrand(I$4,I$5,I$8,5,I$11,Lähteandmed!$C42,I53)</f>
        <v>119.32998895645142</v>
      </c>
      <c r="J54" s="3">
        <f>[1]!Olekuvorrand(J$4,J$5,J$8,5,J$11,Lähteandmed!$C42,J53)</f>
        <v>121.53154611587524</v>
      </c>
      <c r="K54" s="3">
        <f>[1]!Olekuvorrand(K$4,K$5,K$8,5,K$11,Lähteandmed!$C42,K53)</f>
        <v>107.73366689682007</v>
      </c>
      <c r="L54" s="3">
        <f>[1]!Olekuvorrand(L$4,L$5,L$8,5,L$11,Lähteandmed!$C42,L53)</f>
        <v>115.27401208877563</v>
      </c>
      <c r="M54" s="3">
        <f>[1]!Olekuvorrand(M$4,M$5,M$8,5,M$11,Lähteandmed!$C42,M53)</f>
        <v>116.79273843765259</v>
      </c>
      <c r="N54" s="3">
        <f>[1]!Olekuvorrand(N$4,N$5,N$8,5,N$11,Lähteandmed!$C42,N53)</f>
        <v>117.06680059432983</v>
      </c>
      <c r="O54" s="3">
        <f>[1]!Olekuvorrand(O$4,O$5,O$8,5,O$11,Lähteandmed!$C42,O53)</f>
        <v>121.05768918991089</v>
      </c>
      <c r="P54" s="3">
        <f>[1]!Olekuvorrand(P$4,P$5,P$8,5,P$11,Lähteandmed!$C42,P53)</f>
        <v>125.78946352005005</v>
      </c>
      <c r="Q54" s="3">
        <f>[1]!Olekuvorrand(Q$4,Q$5,Q$8,5,Q$11,Lähteandmed!$C42,Q53)</f>
        <v>125.29999017715454</v>
      </c>
      <c r="R54" s="3">
        <f>[1]!Olekuvorrand(R$4,R$5,R$8,5,R$11,Lähteandmed!$C42,R53)</f>
        <v>119.8546290397644</v>
      </c>
      <c r="S54" s="3"/>
      <c r="T54" s="3"/>
      <c r="U54" s="3"/>
      <c r="V54" s="3"/>
      <c r="W54" s="3"/>
    </row>
    <row r="55" spans="1:23" ht="13.5" customHeight="1" x14ac:dyDescent="0.2">
      <c r="A55" s="172"/>
      <c r="B55" s="173"/>
      <c r="C55" s="76" t="s">
        <v>105</v>
      </c>
      <c r="D55" s="3">
        <f>[1]!ripe(D54,D$11+Lähteandmed!$E42*D$13,D$4,0)</f>
        <v>11.370821774419964</v>
      </c>
      <c r="E55" s="3">
        <f>[1]!ripe(E54,E$11+Lähteandmed!$E42*E$13,E$4,0)</f>
        <v>11.17161930202886</v>
      </c>
      <c r="F55" s="3">
        <f>[1]!ripe(F54,F$11+Lähteandmed!$E42*F$13,F$4,0)</f>
        <v>10.971729486023998</v>
      </c>
      <c r="G55" s="3">
        <f>[1]!ripe(G54,G$11+Lähteandmed!$E42*G$13,G$4,0)</f>
        <v>6.5944383849993011</v>
      </c>
      <c r="H55" s="3">
        <f>[1]!ripe(H54,H$11+Lähteandmed!$E42*H$13,H$4,0)</f>
        <v>10.373216165644815</v>
      </c>
      <c r="I55" s="3">
        <f>[1]!ripe(I54,I$11+Lähteandmed!$E42*I$13,I$4,0)</f>
        <v>9.9751147007671861</v>
      </c>
      <c r="J55" s="3">
        <f>[1]!ripe(J54,J$11+Lähteandmed!$E42*J$13,J$4,0)</f>
        <v>9.1766270054645691</v>
      </c>
      <c r="K55" s="3">
        <f>[1]!ripe(K54,K$11+Lähteandmed!$E42*K$13,K$4,0)</f>
        <v>13.682939176598465</v>
      </c>
      <c r="L55" s="3">
        <f>[1]!ripe(L54,L$11+Lähteandmed!$E42*L$13,L$4,0)</f>
        <v>9.6839907812397996</v>
      </c>
      <c r="M55" s="3">
        <f>[1]!ripe(M54,M$11+Lähteandmed!$E42*M$13,M$4,0)</f>
        <v>12.467707470190076</v>
      </c>
      <c r="N55" s="3">
        <f>[1]!ripe(N54,N$11+Lähteandmed!$E42*N$13,N$4,0)</f>
        <v>12.168378875508779</v>
      </c>
      <c r="O55" s="3">
        <f>[1]!ripe(O54,O$11+Lähteandmed!$E42*O$13,O$4,0)</f>
        <v>9.1773829031994207</v>
      </c>
      <c r="P55" s="3">
        <f>[1]!ripe(P54,P$11+Lähteandmed!$E42*P$13,P$4,0)</f>
        <v>6.8913744600581106</v>
      </c>
      <c r="Q55" s="3">
        <f>[1]!ripe(Q54,Q$11+Lähteandmed!$E42*Q$13,Q$4,0)</f>
        <v>7.3865516099426118</v>
      </c>
      <c r="R55" s="3">
        <f>[1]!ripe(R54,R$11+Lähteandmed!$E42*R$13,R$4,0)</f>
        <v>10.173027137270461</v>
      </c>
      <c r="S55" s="3"/>
      <c r="T55" s="3"/>
      <c r="U55" s="3"/>
      <c r="V55" s="3"/>
      <c r="W55" s="3"/>
    </row>
    <row r="56" spans="1:23" x14ac:dyDescent="0.2">
      <c r="A56" s="42"/>
      <c r="B56" s="173"/>
      <c r="C56" s="76" t="s">
        <v>49</v>
      </c>
      <c r="D56" s="50">
        <f t="shared" ref="D56:K56" si="43">D55/D$4^2*1000000</f>
        <v>56.856399089670312</v>
      </c>
      <c r="E56" s="50">
        <f t="shared" ref="E56:R56" si="44">E55/E$4^2*1000000</f>
        <v>56.816205822821857</v>
      </c>
      <c r="F56" s="50">
        <f t="shared" si="44"/>
        <v>56.590102979012286</v>
      </c>
      <c r="G56" s="50">
        <f t="shared" si="44"/>
        <v>52.98812181480119</v>
      </c>
      <c r="H56" s="50">
        <f t="shared" si="44"/>
        <v>56.149547115819139</v>
      </c>
      <c r="I56" s="50">
        <f t="shared" si="44"/>
        <v>56.042073400681808</v>
      </c>
      <c r="J56" s="50">
        <f t="shared" si="44"/>
        <v>55.026865153379582</v>
      </c>
      <c r="K56" s="50">
        <f t="shared" si="44"/>
        <v>62.074374637269422</v>
      </c>
      <c r="L56" s="50">
        <f t="shared" si="44"/>
        <v>58.013943288880895</v>
      </c>
      <c r="M56" s="50">
        <f t="shared" si="44"/>
        <v>57.25955302923208</v>
      </c>
      <c r="N56" s="50">
        <f t="shared" si="44"/>
        <v>57.125504122847886</v>
      </c>
      <c r="O56" s="50">
        <f t="shared" si="44"/>
        <v>55.242257181275733</v>
      </c>
      <c r="P56" s="50">
        <f t="shared" si="44"/>
        <v>53.164230237249193</v>
      </c>
      <c r="Q56" s="50">
        <f t="shared" si="44"/>
        <v>53.371911606257299</v>
      </c>
      <c r="R56" s="50">
        <f t="shared" si="44"/>
        <v>55.79676023844916</v>
      </c>
      <c r="S56" s="50"/>
      <c r="T56" s="50"/>
      <c r="U56" s="50"/>
      <c r="V56" s="50"/>
      <c r="W56" s="50"/>
    </row>
    <row r="57" spans="1:23" ht="38.25" x14ac:dyDescent="0.2">
      <c r="A57" s="159">
        <v>8</v>
      </c>
      <c r="B57" s="174" t="str">
        <f>Lähteandmed!B45</f>
        <v>T+35</v>
      </c>
      <c r="C57" s="77" t="s">
        <v>222</v>
      </c>
      <c r="D57" s="9">
        <f>SQRT((kaalutegur R_8*[1]!juhe(D5,6)+jaitetegur R_8*[1]!Jaitekoormus_EN(D$5,JaideJ,hj))^2+(tuuletegur R_8*[1]!Tuulekoormus_en(D$5,Qt,ht,zo,D$4,JaideJ,jaitetegur R_8))^2)</f>
        <v>5.3499999999999999E-2</v>
      </c>
      <c r="E57" s="9">
        <f>SQRT((kaalutegur R_8*[1]!juhe(E5,6)+jaitetegur R_8*[1]!Jaitekoormus_EN(E$5,JaideJ,hj))^2+(tuuletegur R_8*[1]!Tuulekoormus_en(E$5,Qt,ht,zo,E$4,JaideJ,jaitetegur R_8))^2)</f>
        <v>5.3499999999999999E-2</v>
      </c>
      <c r="F57" s="9">
        <f>SQRT((kaalutegur R_8*[1]!juhe(F5,6)+jaitetegur R_8*[1]!Jaitekoormus_EN(F$5,JaideJ,hj))^2+(tuuletegur R_8*[1]!Tuulekoormus_en(F$5,Qt,ht,zo,F$4,JaideJ,jaitetegur R_8))^2)</f>
        <v>5.3499999999999999E-2</v>
      </c>
      <c r="G57" s="9">
        <f>SQRT((kaalutegur R_8*[1]!juhe(G5,6)+jaitetegur R_8*[1]!Jaitekoormus_EN(G$5,JaideJ,hj))^2+(tuuletegur R_8*[1]!Tuulekoormus_en(G$5,Qt,ht,zo,G$4,JaideJ,jaitetegur R_8))^2)</f>
        <v>5.3499999999999999E-2</v>
      </c>
      <c r="H57" s="9">
        <f>SQRT((kaalutegur R_8*[1]!juhe(H5,6)+jaitetegur R_8*[1]!Jaitekoormus_EN(H$5,JaideJ,hj))^2+(tuuletegur R_8*[1]!Tuulekoormus_en(H$5,Qt,ht,zo,H$4,JaideJ,jaitetegur R_8))^2)</f>
        <v>5.3499999999999999E-2</v>
      </c>
      <c r="I57" s="9">
        <f>SQRT((kaalutegur R_8*[1]!juhe(I5,6)+jaitetegur R_8*[1]!Jaitekoormus_EN(I$5,JaideJ,hj))^2+(tuuletegur R_8*[1]!Tuulekoormus_en(I$5,Qt,ht,zo,I$4,JaideJ,jaitetegur R_8))^2)</f>
        <v>5.3499999999999999E-2</v>
      </c>
      <c r="J57" s="9">
        <f>SQRT((kaalutegur R_8*[1]!juhe(J5,6)+jaitetegur R_8*[1]!Jaitekoormus_EN(J$5,JaideJ,hj))^2+(tuuletegur R_8*[1]!Tuulekoormus_en(J$5,Qt,ht,zo,J$4,JaideJ,jaitetegur R_8))^2)</f>
        <v>5.3499999999999999E-2</v>
      </c>
      <c r="K57" s="9">
        <f>SQRT((kaalutegur R_8*[1]!juhe(K5,6)+jaitetegur R_8*[1]!Jaitekoormus_EN(K$5,JaideJ,hj))^2+(tuuletegur R_8*[1]!Tuulekoormus_en(K$5,Qt,ht,zo,K$4,JaideJ,jaitetegur R_8))^2)</f>
        <v>5.3499999999999999E-2</v>
      </c>
      <c r="L57" s="9">
        <f>SQRT((kaalutegur R_8*[1]!juhe(L5,6)+jaitetegur R_8*[1]!Jaitekoormus_EN(L$5,JaideJ,hj))^2+(tuuletegur R_8*[1]!Tuulekoormus_en(L$5,Qt,ht,zo,L$4,JaideJ,jaitetegur R_8))^2)</f>
        <v>5.3499999999999999E-2</v>
      </c>
      <c r="M57" s="9">
        <f>SQRT((kaalutegur R_8*[1]!juhe(M5,6)+jaitetegur R_8*[1]!Jaitekoormus_EN(M$5,JaideJ,hj))^2+(tuuletegur R_8*[1]!Tuulekoormus_en(M$5,Qt,ht,zo,M$4,JaideJ,jaitetegur R_8))^2)</f>
        <v>5.3499999999999999E-2</v>
      </c>
      <c r="N57" s="9">
        <f>SQRT((kaalutegur R_8*[1]!juhe(N5,6)+jaitetegur R_8*[1]!Jaitekoormus_EN(N$5,JaideJ,hj))^2+(tuuletegur R_8*[1]!Tuulekoormus_en(N$5,Qt,ht,zo,N$4,JaideJ,jaitetegur R_8))^2)</f>
        <v>5.3499999999999999E-2</v>
      </c>
      <c r="O57" s="9">
        <f>SQRT((kaalutegur R_8*[1]!juhe(O5,6)+jaitetegur R_8*[1]!Jaitekoormus_EN(O$5,JaideJ,hj))^2+(tuuletegur R_8*[1]!Tuulekoormus_en(O$5,Qt,ht,zo,O$4,JaideJ,jaitetegur R_8))^2)</f>
        <v>5.3499999999999999E-2</v>
      </c>
      <c r="P57" s="9">
        <f>SQRT((kaalutegur R_8*[1]!juhe(P5,6)+jaitetegur R_8*[1]!Jaitekoormus_EN(P$5,JaideJ,hj))^2+(tuuletegur R_8*[1]!Tuulekoormus_en(P$5,Qt,ht,zo,P$4,JaideJ,jaitetegur R_8))^2)</f>
        <v>5.3499999999999999E-2</v>
      </c>
      <c r="Q57" s="9">
        <f>SQRT((kaalutegur R_8*[1]!juhe(Q5,6)+jaitetegur R_8*[1]!Jaitekoormus_EN(Q$5,JaideJ,hj))^2+(tuuletegur R_8*[1]!Tuulekoormus_en(Q$5,Qt,ht,zo,Q$4,JaideJ,jaitetegur R_8))^2)</f>
        <v>5.3499999999999999E-2</v>
      </c>
      <c r="R57" s="9">
        <f>SQRT((kaalutegur R_8*[1]!juhe(R5,6)+jaitetegur R_8*[1]!Jaitekoormus_EN(R$5,JaideJ,hj))^2+(tuuletegur R_8*[1]!Tuulekoormus_en(R$5,Qt,ht,zo,R$4,JaideJ,jaitetegur R_8))^2)</f>
        <v>5.3499999999999999E-2</v>
      </c>
      <c r="S57" s="9"/>
      <c r="T57" s="9"/>
      <c r="U57" s="9"/>
      <c r="V57" s="9"/>
      <c r="W57" s="9"/>
    </row>
    <row r="58" spans="1:23" x14ac:dyDescent="0.2">
      <c r="A58" s="159"/>
      <c r="B58" s="174"/>
      <c r="C58" s="77" t="s">
        <v>104</v>
      </c>
      <c r="D58" s="22">
        <f>[1]!Olekuvorrand(D$4,D$5,D$8,5,D$11,Lähteandmed!$C45,D57)</f>
        <v>108.35331678390503</v>
      </c>
      <c r="E58" s="22">
        <f>[1]!Olekuvorrand(E$4,E$5,E$8,5,E$11,Lähteandmed!$C45,E57)</f>
        <v>108.29919576644897</v>
      </c>
      <c r="F58" s="22">
        <f>[1]!Olekuvorrand(F$4,F$5,F$8,5,F$11,Lähteandmed!$C45,F57)</f>
        <v>108.57671499252319</v>
      </c>
      <c r="G58" s="22">
        <f>[1]!Olekuvorrand(G$4,G$5,G$8,5,G$11,Lähteandmed!$C45,G57)</f>
        <v>110.96078157424927</v>
      </c>
      <c r="H58" s="22">
        <f>[1]!Olekuvorrand(H$4,H$5,H$8,5,H$11,Lähteandmed!$C45,H57)</f>
        <v>108.96033048629761</v>
      </c>
      <c r="I58" s="22">
        <f>[1]!Olekuvorrand(I$4,I$5,I$8,5,I$11,Lähteandmed!$C45,I57)</f>
        <v>108.85554552078247</v>
      </c>
      <c r="J58" s="22">
        <f>[1]!Olekuvorrand(J$4,J$5,J$8,5,J$11,Lähteandmed!$C45,J57)</f>
        <v>110.06814241409302</v>
      </c>
      <c r="K58" s="22">
        <f>[1]!Olekuvorrand(K$4,K$5,K$8,5,K$11,Lähteandmed!$C45,K57)</f>
        <v>100.82763433456421</v>
      </c>
      <c r="L58" s="22">
        <f>[1]!Olekuvorrand(L$4,L$5,L$8,5,L$11,Lähteandmed!$C45,L57)</f>
        <v>105.14253377914429</v>
      </c>
      <c r="M58" s="22">
        <f>[1]!Olekuvorrand(M$4,M$5,M$8,5,M$11,Lähteandmed!$C45,M57)</f>
        <v>108.2649827003479</v>
      </c>
      <c r="N58" s="22">
        <f>[1]!Olekuvorrand(N$4,N$5,N$8,5,N$11,Lähteandmed!$C45,N57)</f>
        <v>108.3415150642395</v>
      </c>
      <c r="O58" s="22">
        <f>[1]!Olekuvorrand(O$4,O$5,O$8,5,O$11,Lähteandmed!$C45,O57)</f>
        <v>109.66497659683228</v>
      </c>
      <c r="P58" s="22">
        <f>[1]!Olekuvorrand(P$4,P$5,P$8,5,P$11,Lähteandmed!$C45,P57)</f>
        <v>111.05090379714966</v>
      </c>
      <c r="Q58" s="22">
        <f>[1]!Olekuvorrand(Q$4,Q$5,Q$8,5,Q$11,Lähteandmed!$C45,Q57)</f>
        <v>111.31304502487183</v>
      </c>
      <c r="R58" s="22">
        <f>[1]!Olekuvorrand(R$4,R$5,R$8,5,R$11,Lähteandmed!$C45,R57)</f>
        <v>109.45981740951538</v>
      </c>
      <c r="S58" s="22"/>
      <c r="T58" s="22"/>
      <c r="U58" s="22"/>
      <c r="V58" s="22"/>
      <c r="W58" s="22"/>
    </row>
    <row r="59" spans="1:23" x14ac:dyDescent="0.2">
      <c r="A59" s="159"/>
      <c r="B59" s="174"/>
      <c r="C59" s="77" t="s">
        <v>105</v>
      </c>
      <c r="D59" s="9">
        <f>[1]!ripe(D58,D$11+Lähteandmed!$E45*D$13,D$4,0)</f>
        <v>12.343379641840359</v>
      </c>
      <c r="E59" s="9">
        <f>[1]!ripe(E58,E$11+Lähteandmed!$E45*E$13,E$4,0)</f>
        <v>12.141782892087045</v>
      </c>
      <c r="F59" s="9">
        <f>[1]!ripe(F58,F$11+Lähteandmed!$E45*F$13,F$4,0)</f>
        <v>11.941577574285544</v>
      </c>
      <c r="G59" s="9">
        <f>[1]!ripe(G58,G$11+Lähteandmed!$E45*G$13,G$4,0)</f>
        <v>7.5005580511200529</v>
      </c>
      <c r="H59" s="9">
        <f>[1]!ripe(H58,H$11+Lähteandmed!$E45*H$13,H$4,0)</f>
        <v>11.338681431578392</v>
      </c>
      <c r="I59" s="9">
        <f>[1]!ripe(I58,I$11+Lähteandmed!$E45*I$13,I$4,0)</f>
        <v>10.934953487092939</v>
      </c>
      <c r="J59" s="9">
        <f>[1]!ripe(J58,J$11+Lähteandmed!$E45*J$13,J$4,0)</f>
        <v>10.132356589675743</v>
      </c>
      <c r="K59" s="9">
        <f>[1]!ripe(K58,K$11+Lähteandmed!$E45*K$13,K$4,0)</f>
        <v>14.620130891197308</v>
      </c>
      <c r="L59" s="9">
        <f>[1]!ripe(L58,L$11+Lähteandmed!$E45*L$13,L$4,0)</f>
        <v>10.617134952531041</v>
      </c>
      <c r="M59" s="9">
        <f>[1]!ripe(M58,M$11+Lähteandmed!$E45*M$13,M$4,0)</f>
        <v>13.449756894279702</v>
      </c>
      <c r="N59" s="9">
        <f>[1]!ripe(N58,N$11+Lähteandmed!$E45*N$13,N$4,0)</f>
        <v>13.148359449568318</v>
      </c>
      <c r="O59" s="9">
        <f>[1]!ripe(O58,O$11+Lähteandmed!$E45*O$13,O$4,0)</f>
        <v>10.130789259698881</v>
      </c>
      <c r="P59" s="9">
        <f>[1]!ripe(P58,P$11+Lähteandmed!$E45*P$13,P$4,0)</f>
        <v>7.8059904656870884</v>
      </c>
      <c r="Q59" s="9">
        <f>[1]!ripe(Q58,Q$11+Lähteandmed!$E45*Q$13,Q$4,0)</f>
        <v>8.3147024139179067</v>
      </c>
      <c r="R59" s="9">
        <f>[1]!ripe(R58,R$11+Lähteandmed!$E45*R$13,R$4,0)</f>
        <v>11.139104948324302</v>
      </c>
      <c r="S59" s="9"/>
      <c r="T59" s="9"/>
      <c r="U59" s="9"/>
      <c r="V59" s="9"/>
      <c r="W59" s="9"/>
    </row>
    <row r="60" spans="1:23" x14ac:dyDescent="0.2">
      <c r="A60" s="39"/>
      <c r="B60" s="174"/>
      <c r="C60" s="77" t="s">
        <v>49</v>
      </c>
      <c r="D60" s="51">
        <f t="shared" ref="D60:K60" si="45">D59/D$4^2*1000000</f>
        <v>61.719384311393512</v>
      </c>
      <c r="E60" s="51">
        <f t="shared" ref="E60:R60" si="46">E59/E$4^2*1000000</f>
        <v>61.750227715650155</v>
      </c>
      <c r="F60" s="51">
        <f t="shared" si="46"/>
        <v>61.592395758708605</v>
      </c>
      <c r="G60" s="51">
        <f t="shared" si="46"/>
        <v>60.26904195447711</v>
      </c>
      <c r="H60" s="51">
        <f t="shared" si="46"/>
        <v>61.375548056372608</v>
      </c>
      <c r="I60" s="51">
        <f t="shared" si="46"/>
        <v>61.434628507035825</v>
      </c>
      <c r="J60" s="51">
        <f t="shared" si="46"/>
        <v>60.757816506438452</v>
      </c>
      <c r="K60" s="51">
        <f t="shared" si="46"/>
        <v>66.326062732064841</v>
      </c>
      <c r="L60" s="51">
        <f t="shared" si="46"/>
        <v>63.604135830008978</v>
      </c>
      <c r="M60" s="51">
        <f t="shared" si="46"/>
        <v>61.76974154708391</v>
      </c>
      <c r="N60" s="51">
        <f t="shared" si="46"/>
        <v>61.72610744860588</v>
      </c>
      <c r="O60" s="51">
        <f t="shared" si="46"/>
        <v>60.981182940344254</v>
      </c>
      <c r="P60" s="51">
        <f t="shared" si="46"/>
        <v>60.220131231130487</v>
      </c>
      <c r="Q60" s="51">
        <f t="shared" si="46"/>
        <v>60.078313359460637</v>
      </c>
      <c r="R60" s="51">
        <f t="shared" si="46"/>
        <v>61.095479220291956</v>
      </c>
      <c r="S60" s="51"/>
      <c r="T60" s="51"/>
      <c r="U60" s="51"/>
      <c r="V60" s="51"/>
      <c r="W60" s="51"/>
    </row>
    <row r="61" spans="1:23" ht="38.25" x14ac:dyDescent="0.2">
      <c r="A61" s="172">
        <v>9</v>
      </c>
      <c r="B61" s="173" t="str">
        <f>Lähteandmed!B48</f>
        <v>T +15</v>
      </c>
      <c r="C61" s="76" t="s">
        <v>222</v>
      </c>
      <c r="D61" s="6">
        <f>SQRT((kaalutegur R_9*[1]!juhe(D5,6)+jaitetegur R_9*[1]!Jaitekoormus_EN(D$5,JaideJ,hj))^2+(tuuletegur R_9*[1]!Tuulekoormus_en(D$5,Qt,ht,zo,D$4,JaideJ,jaitetegur R_9))^2)</f>
        <v>5.3499999999999999E-2</v>
      </c>
      <c r="E61" s="6">
        <f>SQRT((kaalutegur R_9*[1]!juhe(E5,6)+jaitetegur R_9*[1]!Jaitekoormus_EN(E$5,JaideJ,hj))^2+(tuuletegur R_9*[1]!Tuulekoormus_en(E$5,Qt,ht,zo,E$4,JaideJ,jaitetegur R_9))^2)</f>
        <v>5.3499999999999999E-2</v>
      </c>
      <c r="F61" s="6">
        <f>SQRT((kaalutegur R_9*[1]!juhe(F5,6)+jaitetegur R_9*[1]!Jaitekoormus_EN(F$5,JaideJ,hj))^2+(tuuletegur R_9*[1]!Tuulekoormus_en(F$5,Qt,ht,zo,F$4,JaideJ,jaitetegur R_9))^2)</f>
        <v>5.3499999999999999E-2</v>
      </c>
      <c r="G61" s="6">
        <f>SQRT((kaalutegur R_9*[1]!juhe(G5,6)+jaitetegur R_9*[1]!Jaitekoormus_EN(G$5,JaideJ,hj))^2+(tuuletegur R_9*[1]!Tuulekoormus_en(G$5,Qt,ht,zo,G$4,JaideJ,jaitetegur R_9))^2)</f>
        <v>5.3499999999999999E-2</v>
      </c>
      <c r="H61" s="6">
        <f>SQRT((kaalutegur R_9*[1]!juhe(H5,6)+jaitetegur R_9*[1]!Jaitekoormus_EN(H$5,JaideJ,hj))^2+(tuuletegur R_9*[1]!Tuulekoormus_en(H$5,Qt,ht,zo,H$4,JaideJ,jaitetegur R_9))^2)</f>
        <v>5.3499999999999999E-2</v>
      </c>
      <c r="I61" s="6">
        <f>SQRT((kaalutegur R_9*[1]!juhe(I5,6)+jaitetegur R_9*[1]!Jaitekoormus_EN(I$5,JaideJ,hj))^2+(tuuletegur R_9*[1]!Tuulekoormus_en(I$5,Qt,ht,zo,I$4,JaideJ,jaitetegur R_9))^2)</f>
        <v>5.3499999999999999E-2</v>
      </c>
      <c r="J61" s="6">
        <f>SQRT((kaalutegur R_9*[1]!juhe(J5,6)+jaitetegur R_9*[1]!Jaitekoormus_EN(J$5,JaideJ,hj))^2+(tuuletegur R_9*[1]!Tuulekoormus_en(J$5,Qt,ht,zo,J$4,JaideJ,jaitetegur R_9))^2)</f>
        <v>5.3499999999999999E-2</v>
      </c>
      <c r="K61" s="6">
        <f>SQRT((kaalutegur R_9*[1]!juhe(K5,6)+jaitetegur R_9*[1]!Jaitekoormus_EN(K$5,JaideJ,hj))^2+(tuuletegur R_9*[1]!Tuulekoormus_en(K$5,Qt,ht,zo,K$4,JaideJ,jaitetegur R_9))^2)</f>
        <v>5.3499999999999999E-2</v>
      </c>
      <c r="L61" s="6">
        <f>SQRT((kaalutegur R_9*[1]!juhe(L5,6)+jaitetegur R_9*[1]!Jaitekoormus_EN(L$5,JaideJ,hj))^2+(tuuletegur R_9*[1]!Tuulekoormus_en(L$5,Qt,ht,zo,L$4,JaideJ,jaitetegur R_9))^2)</f>
        <v>5.3499999999999999E-2</v>
      </c>
      <c r="M61" s="6">
        <f>SQRT((kaalutegur R_9*[1]!juhe(M5,6)+jaitetegur R_9*[1]!Jaitekoormus_EN(M$5,JaideJ,hj))^2+(tuuletegur R_9*[1]!Tuulekoormus_en(M$5,Qt,ht,zo,M$4,JaideJ,jaitetegur R_9))^2)</f>
        <v>5.3499999999999999E-2</v>
      </c>
      <c r="N61" s="6">
        <f>SQRT((kaalutegur R_9*[1]!juhe(N5,6)+jaitetegur R_9*[1]!Jaitekoormus_EN(N$5,JaideJ,hj))^2+(tuuletegur R_9*[1]!Tuulekoormus_en(N$5,Qt,ht,zo,N$4,JaideJ,jaitetegur R_9))^2)</f>
        <v>5.3499999999999999E-2</v>
      </c>
      <c r="O61" s="6">
        <f>SQRT((kaalutegur R_9*[1]!juhe(O5,6)+jaitetegur R_9*[1]!Jaitekoormus_EN(O$5,JaideJ,hj))^2+(tuuletegur R_9*[1]!Tuulekoormus_en(O$5,Qt,ht,zo,O$4,JaideJ,jaitetegur R_9))^2)</f>
        <v>5.3499999999999999E-2</v>
      </c>
      <c r="P61" s="6">
        <f>SQRT((kaalutegur R_9*[1]!juhe(P5,6)+jaitetegur R_9*[1]!Jaitekoormus_EN(P$5,JaideJ,hj))^2+(tuuletegur R_9*[1]!Tuulekoormus_en(P$5,Qt,ht,zo,P$4,JaideJ,jaitetegur R_9))^2)</f>
        <v>5.3499999999999999E-2</v>
      </c>
      <c r="Q61" s="6">
        <f>SQRT((kaalutegur R_9*[1]!juhe(Q5,6)+jaitetegur R_9*[1]!Jaitekoormus_EN(Q$5,JaideJ,hj))^2+(tuuletegur R_9*[1]!Tuulekoormus_en(Q$5,Qt,ht,zo,Q$4,JaideJ,jaitetegur R_9))^2)</f>
        <v>5.3499999999999999E-2</v>
      </c>
      <c r="R61" s="6">
        <f>SQRT((kaalutegur R_9*[1]!juhe(R5,6)+jaitetegur R_9*[1]!Jaitekoormus_EN(R$5,JaideJ,hj))^2+(tuuletegur R_9*[1]!Tuulekoormus_en(R$5,Qt,ht,zo,R$4,JaideJ,jaitetegur R_9))^2)</f>
        <v>5.3499999999999999E-2</v>
      </c>
      <c r="S61" s="6"/>
      <c r="T61" s="6"/>
      <c r="U61" s="6"/>
      <c r="V61" s="6"/>
      <c r="W61" s="6"/>
    </row>
    <row r="62" spans="1:23" x14ac:dyDescent="0.2">
      <c r="A62" s="172"/>
      <c r="B62" s="173"/>
      <c r="C62" s="76" t="s">
        <v>104</v>
      </c>
      <c r="D62" s="3">
        <f>[1]!Olekuvorrand(D$4,D$5,D$8,5,D$11,Lähteandmed!$C48,D61)</f>
        <v>114.31163549423218</v>
      </c>
      <c r="E62" s="3">
        <f>[1]!Olekuvorrand(E$4,E$5,E$8,5,E$11,Lähteandmed!$C48,E61)</f>
        <v>114.34310674667358</v>
      </c>
      <c r="F62" s="3">
        <f>[1]!Olekuvorrand(F$4,F$5,F$8,5,F$11,Lähteandmed!$C48,F61)</f>
        <v>114.74126577377319</v>
      </c>
      <c r="G62" s="3">
        <f>[1]!Olekuvorrand(G$4,G$5,G$8,5,G$11,Lähteandmed!$C48,G61)</f>
        <v>120.61852216720581</v>
      </c>
      <c r="H62" s="3">
        <f>[1]!Olekuvorrand(H$4,H$5,H$8,5,H$11,Lähteandmed!$C48,H61)</f>
        <v>115.46415090560913</v>
      </c>
      <c r="I62" s="3">
        <f>[1]!Olekuvorrand(I$4,I$5,I$8,5,I$11,Lähteandmed!$C48,I61)</f>
        <v>115.56607484817505</v>
      </c>
      <c r="J62" s="3">
        <f>[1]!Olekuvorrand(J$4,J$5,J$8,5,J$11,Lähteandmed!$C48,J61)</f>
        <v>117.39462614059448</v>
      </c>
      <c r="K62" s="3">
        <f>[1]!Olekuvorrand(K$4,K$5,K$8,5,K$11,Lähteandmed!$C48,K61)</f>
        <v>105.29381036758423</v>
      </c>
      <c r="L62" s="3">
        <f>[1]!Olekuvorrand(L$4,L$5,L$8,5,L$11,Lähteandmed!$C48,L61)</f>
        <v>111.63121461868286</v>
      </c>
      <c r="M62" s="3">
        <f>[1]!Olekuvorrand(M$4,M$5,M$8,5,M$11,Lähteandmed!$C48,M61)</f>
        <v>113.76065015792847</v>
      </c>
      <c r="N62" s="3">
        <f>[1]!Olekuvorrand(N$4,N$5,N$8,5,N$11,Lähteandmed!$C48,N61)</f>
        <v>113.96104097366333</v>
      </c>
      <c r="O62" s="3">
        <f>[1]!Olekuvorrand(O$4,O$5,O$8,5,O$11,Lähteandmed!$C48,O61)</f>
        <v>116.94663763046265</v>
      </c>
      <c r="P62" s="3">
        <f>[1]!Olekuvorrand(P$4,P$5,P$8,5,P$11,Lähteandmed!$C48,P61)</f>
        <v>120.39750814437866</v>
      </c>
      <c r="Q62" s="3">
        <f>[1]!Olekuvorrand(Q$4,Q$5,Q$8,5,Q$11,Lähteandmed!$C48,Q61)</f>
        <v>120.19926309585571</v>
      </c>
      <c r="R62" s="3">
        <f>[1]!Olekuvorrand(R$4,R$5,R$8,5,R$11,Lähteandmed!$C48,R61)</f>
        <v>116.12230539321899</v>
      </c>
      <c r="S62" s="3"/>
      <c r="T62" s="3"/>
      <c r="U62" s="3"/>
      <c r="V62" s="3"/>
      <c r="W62" s="3"/>
    </row>
    <row r="63" spans="1:23" x14ac:dyDescent="0.2">
      <c r="A63" s="172"/>
      <c r="B63" s="173"/>
      <c r="C63" s="76" t="s">
        <v>105</v>
      </c>
      <c r="D63" s="3">
        <f>[1]!ripe(D62,D$11+Lähteandmed!$E48*D$13,D$4,0)</f>
        <v>11.699999905817254</v>
      </c>
      <c r="E63" s="3">
        <f>[1]!ripe(E62,E$11+Lähteandmed!$E48*E$13,E$4,0)</f>
        <v>11.499996456254323</v>
      </c>
      <c r="F63" s="3">
        <f>[1]!ripe(F62,F$11+Lähteandmed!$E48*F$13,F$4,0)</f>
        <v>11.300008380600167</v>
      </c>
      <c r="G63" s="3">
        <f>[1]!ripe(G62,G$11+Lähteandmed!$E48*G$13,G$4,0)</f>
        <v>6.899999839507144</v>
      </c>
      <c r="H63" s="3">
        <f>[1]!ripe(H62,H$11+Lähteandmed!$E48*H$13,H$4,0)</f>
        <v>10.700000531538226</v>
      </c>
      <c r="I63" s="3">
        <f>[1]!ripe(I62,I$11+Lähteandmed!$E48*I$13,I$4,0)</f>
        <v>10.29999788991433</v>
      </c>
      <c r="J63" s="3">
        <f>[1]!ripe(J62,J$11+Lähteandmed!$E48*J$13,J$4,0)</f>
        <v>9.5000061311763542</v>
      </c>
      <c r="K63" s="3">
        <f>[1]!ripe(K62,K$11+Lähteandmed!$E48*K$13,K$4,0)</f>
        <v>13.999998729981655</v>
      </c>
      <c r="L63" s="3">
        <f>[1]!ripe(L62,L$11+Lähteandmed!$E48*L$13,L$4,0)</f>
        <v>10.000002904182319</v>
      </c>
      <c r="M63" s="3">
        <f>[1]!ripe(M62,M$11+Lähteandmed!$E48*M$13,M$4,0)</f>
        <v>12.800012090838006</v>
      </c>
      <c r="N63" s="3">
        <f>[1]!ripe(N62,N$11+Lähteandmed!$E48*N$13,N$4,0)</f>
        <v>12.500001502308583</v>
      </c>
      <c r="O63" s="3">
        <f>[1]!ripe(O62,O$11+Lähteandmed!$E48*O$13,O$4,0)</f>
        <v>9.4999975166701365</v>
      </c>
      <c r="P63" s="3">
        <f>[1]!ripe(P62,P$11+Lähteandmed!$E48*P$13,P$4,0)</f>
        <v>7.2000019735205623</v>
      </c>
      <c r="Q63" s="3">
        <f>[1]!ripe(Q62,Q$11+Lähteandmed!$E48*Q$13,Q$4,0)</f>
        <v>7.7000043122624211</v>
      </c>
      <c r="R63" s="3">
        <f>[1]!ripe(R62,R$11+Lähteandmed!$E48*R$13,R$4,0)</f>
        <v>10.500001611406244</v>
      </c>
      <c r="S63" s="3"/>
      <c r="T63" s="3"/>
      <c r="U63" s="3"/>
      <c r="V63" s="3"/>
      <c r="W63" s="3"/>
    </row>
    <row r="64" spans="1:23" ht="14.25" customHeight="1" x14ac:dyDescent="0.2">
      <c r="A64" s="42"/>
      <c r="B64" s="173"/>
      <c r="C64" s="76" t="s">
        <v>49</v>
      </c>
      <c r="D64" s="50">
        <f t="shared" ref="D64:K64" si="47">D63/D$4^2*1000000</f>
        <v>58.502356047013521</v>
      </c>
      <c r="E64" s="50">
        <f t="shared" ref="E64:R64" si="48">E63/E$4^2*1000000</f>
        <v>58.486254136999385</v>
      </c>
      <c r="F64" s="50">
        <f t="shared" si="48"/>
        <v>58.283303351256777</v>
      </c>
      <c r="G64" s="50">
        <f t="shared" si="48"/>
        <v>55.443391942155806</v>
      </c>
      <c r="H64" s="50">
        <f t="shared" si="48"/>
        <v>57.918409718934925</v>
      </c>
      <c r="I64" s="50">
        <f t="shared" si="48"/>
        <v>57.867328355537765</v>
      </c>
      <c r="J64" s="50">
        <f t="shared" si="48"/>
        <v>56.965980640296912</v>
      </c>
      <c r="K64" s="50">
        <f t="shared" si="48"/>
        <v>63.512755181465209</v>
      </c>
      <c r="L64" s="50">
        <f t="shared" si="48"/>
        <v>59.907079062461122</v>
      </c>
      <c r="M64" s="50">
        <f t="shared" si="48"/>
        <v>58.78570481722867</v>
      </c>
      <c r="N64" s="50">
        <f t="shared" si="48"/>
        <v>58.68233514596885</v>
      </c>
      <c r="O64" s="50">
        <f t="shared" si="48"/>
        <v>57.184200721800124</v>
      </c>
      <c r="P64" s="50">
        <f t="shared" si="48"/>
        <v>55.54516952278167</v>
      </c>
      <c r="Q64" s="50">
        <f t="shared" si="48"/>
        <v>55.636780357520962</v>
      </c>
      <c r="R64" s="50">
        <f t="shared" si="48"/>
        <v>57.590141509458164</v>
      </c>
      <c r="S64" s="50"/>
      <c r="T64" s="50"/>
      <c r="U64" s="50"/>
      <c r="V64" s="50"/>
      <c r="W64" s="50"/>
    </row>
    <row r="65" spans="1:23" ht="38.25" x14ac:dyDescent="0.2">
      <c r="A65" s="159">
        <v>10</v>
      </c>
      <c r="B65" s="174" t="str">
        <f>Lähteandmed!B51</f>
        <v>T+60</v>
      </c>
      <c r="C65" s="77" t="s">
        <v>222</v>
      </c>
      <c r="D65" s="9">
        <f>SQRT((kaalutegur R_10*[1]!juhe(D5,6)+jaitetegur R_10*[1]!Jaitekoormus_EN(D$5,JaideJ,hj))^2+(tuuletegur R_10*[1]!Tuulekoormus_en(D$5,Qt,ht,zo,D$4,JaideJ,jaitetegur R_10))^2)</f>
        <v>5.3499999999999999E-2</v>
      </c>
      <c r="E65" s="9">
        <f>SQRT((kaalutegur R_10*[1]!juhe(E5,6)+jaitetegur R_10*[1]!Jaitekoormus_EN(E$5,JaideJ,hj))^2+(tuuletegur R_10*[1]!Tuulekoormus_en(E$5,Qt,ht,zo,E$4,JaideJ,jaitetegur R_10))^2)</f>
        <v>5.3499999999999999E-2</v>
      </c>
      <c r="F65" s="9">
        <f>SQRT((kaalutegur R_10*[1]!juhe(F5,6)+jaitetegur R_10*[1]!Jaitekoormus_EN(F$5,JaideJ,hj))^2+(tuuletegur R_10*[1]!Tuulekoormus_en(F$5,Qt,ht,zo,F$4,JaideJ,jaitetegur R_10))^2)</f>
        <v>5.3499999999999999E-2</v>
      </c>
      <c r="G65" s="9">
        <f>SQRT((kaalutegur R_10*[1]!juhe(G5,6)+jaitetegur R_10*[1]!Jaitekoormus_EN(G$5,JaideJ,hj))^2+(tuuletegur R_10*[1]!Tuulekoormus_en(G$5,Qt,ht,zo,G$4,JaideJ,jaitetegur R_10))^2)</f>
        <v>5.3499999999999999E-2</v>
      </c>
      <c r="H65" s="9">
        <f>SQRT((kaalutegur R_10*[1]!juhe(H5,6)+jaitetegur R_10*[1]!Jaitekoormus_EN(H$5,JaideJ,hj))^2+(tuuletegur R_10*[1]!Tuulekoormus_en(H$5,Qt,ht,zo,H$4,JaideJ,jaitetegur R_10))^2)</f>
        <v>5.3499999999999999E-2</v>
      </c>
      <c r="I65" s="9">
        <f>SQRT((kaalutegur R_10*[1]!juhe(I5,6)+jaitetegur R_10*[1]!Jaitekoormus_EN(I$5,JaideJ,hj))^2+(tuuletegur R_10*[1]!Tuulekoormus_en(I$5,Qt,ht,zo,I$4,JaideJ,jaitetegur R_10))^2)</f>
        <v>5.3499999999999999E-2</v>
      </c>
      <c r="J65" s="9">
        <f>SQRT((kaalutegur R_10*[1]!juhe(J5,6)+jaitetegur R_10*[1]!Jaitekoormus_EN(J$5,JaideJ,hj))^2+(tuuletegur R_10*[1]!Tuulekoormus_en(J$5,Qt,ht,zo,J$4,JaideJ,jaitetegur R_10))^2)</f>
        <v>5.3499999999999999E-2</v>
      </c>
      <c r="K65" s="9">
        <f>SQRT((kaalutegur R_10*[1]!juhe(K5,6)+jaitetegur R_10*[1]!Jaitekoormus_EN(K$5,JaideJ,hj))^2+(tuuletegur R_10*[1]!Tuulekoormus_en(K$5,Qt,ht,zo,K$4,JaideJ,jaitetegur R_10))^2)</f>
        <v>5.3499999999999999E-2</v>
      </c>
      <c r="L65" s="9">
        <f>SQRT((kaalutegur R_10*[1]!juhe(L5,6)+jaitetegur R_10*[1]!Jaitekoormus_EN(L$5,JaideJ,hj))^2+(tuuletegur R_10*[1]!Tuulekoormus_en(L$5,Qt,ht,zo,L$4,JaideJ,jaitetegur R_10))^2)</f>
        <v>5.3499999999999999E-2</v>
      </c>
      <c r="M65" s="9">
        <f>SQRT((kaalutegur R_10*[1]!juhe(M5,6)+jaitetegur R_10*[1]!Jaitekoormus_EN(M$5,JaideJ,hj))^2+(tuuletegur R_10*[1]!Tuulekoormus_en(M$5,Qt,ht,zo,M$4,JaideJ,jaitetegur R_10))^2)</f>
        <v>5.3499999999999999E-2</v>
      </c>
      <c r="N65" s="9">
        <f>SQRT((kaalutegur R_10*[1]!juhe(N5,6)+jaitetegur R_10*[1]!Jaitekoormus_EN(N$5,JaideJ,hj))^2+(tuuletegur R_10*[1]!Tuulekoormus_en(N$5,Qt,ht,zo,N$4,JaideJ,jaitetegur R_10))^2)</f>
        <v>5.3499999999999999E-2</v>
      </c>
      <c r="O65" s="9">
        <f>SQRT((kaalutegur R_10*[1]!juhe(O5,6)+jaitetegur R_10*[1]!Jaitekoormus_EN(O$5,JaideJ,hj))^2+(tuuletegur R_10*[1]!Tuulekoormus_en(O$5,Qt,ht,zo,O$4,JaideJ,jaitetegur R_10))^2)</f>
        <v>5.3499999999999999E-2</v>
      </c>
      <c r="P65" s="9">
        <f>SQRT((kaalutegur R_10*[1]!juhe(P5,6)+jaitetegur R_10*[1]!Jaitekoormus_EN(P$5,JaideJ,hj))^2+(tuuletegur R_10*[1]!Tuulekoormus_en(P$5,Qt,ht,zo,P$4,JaideJ,jaitetegur R_10))^2)</f>
        <v>5.3499999999999999E-2</v>
      </c>
      <c r="Q65" s="9">
        <f>SQRT((kaalutegur R_10*[1]!juhe(Q5,6)+jaitetegur R_10*[1]!Jaitekoormus_EN(Q$5,JaideJ,hj))^2+(tuuletegur R_10*[1]!Tuulekoormus_en(Q$5,Qt,ht,zo,Q$4,JaideJ,jaitetegur R_10))^2)</f>
        <v>5.3499999999999999E-2</v>
      </c>
      <c r="R65" s="9">
        <f>SQRT((kaalutegur R_10*[1]!juhe(R5,6)+jaitetegur R_10*[1]!Jaitekoormus_EN(R$5,JaideJ,hj))^2+(tuuletegur R_10*[1]!Tuulekoormus_en(R$5,Qt,ht,zo,R$4,JaideJ,jaitetegur R_10))^2)</f>
        <v>5.3499999999999999E-2</v>
      </c>
      <c r="S65" s="9"/>
      <c r="T65" s="9"/>
      <c r="U65" s="9"/>
      <c r="V65" s="9"/>
      <c r="W65" s="9"/>
    </row>
    <row r="66" spans="1:23" ht="14.25" customHeight="1" x14ac:dyDescent="0.2">
      <c r="A66" s="159"/>
      <c r="B66" s="174"/>
      <c r="C66" s="77" t="s">
        <v>104</v>
      </c>
      <c r="D66" s="22">
        <f>[1]!Olekuvorrand(D$4,D$5,D$8,5,D$11,Lähteandmed!$C51,D65)</f>
        <v>101.93949937820435</v>
      </c>
      <c r="E66" s="22">
        <f>[1]!Olekuvorrand(E$4,E$5,E$8,5,E$11,Lähteandmed!$C51,E65)</f>
        <v>101.80479288101196</v>
      </c>
      <c r="F66" s="22">
        <f>[1]!Olekuvorrand(F$4,F$5,F$8,5,F$11,Lähteandmed!$C51,F65)</f>
        <v>101.96584463119507</v>
      </c>
      <c r="G66" s="22">
        <f>[1]!Olekuvorrand(G$4,G$5,G$8,5,G$11,Lähteandmed!$C51,G65)</f>
        <v>101.17143392562866</v>
      </c>
      <c r="H66" s="22">
        <f>[1]!Olekuvorrand(H$4,H$5,H$8,5,H$11,Lähteandmed!$C51,H65)</f>
        <v>102.02819108963013</v>
      </c>
      <c r="I66" s="22">
        <f>[1]!Olekuvorrand(I$4,I$5,I$8,5,I$11,Lähteandmed!$C51,I65)</f>
        <v>101.73207521438599</v>
      </c>
      <c r="J66" s="22">
        <f>[1]!Olekuvorrand(J$4,J$5,J$8,5,J$11,Lähteandmed!$C51,J65)</f>
        <v>102.36483812332153</v>
      </c>
      <c r="K66" s="22">
        <f>[1]!Olekuvorrand(K$4,K$5,K$8,5,K$11,Lähteandmed!$C51,K65)</f>
        <v>95.907151699066162</v>
      </c>
      <c r="L66" s="22">
        <f>[1]!Olekuvorrand(L$4,L$5,L$8,5,L$11,Lähteandmed!$C51,L65)</f>
        <v>98.261654376983643</v>
      </c>
      <c r="M66" s="22">
        <f>[1]!Olekuvorrand(M$4,M$5,M$8,5,M$11,Lähteandmed!$C51,M65)</f>
        <v>102.29390859603882</v>
      </c>
      <c r="N66" s="22">
        <f>[1]!Olekuvorrand(N$4,N$5,N$8,5,N$11,Lähteandmed!$C51,N65)</f>
        <v>102.25087404251099</v>
      </c>
      <c r="O66" s="22">
        <f>[1]!Olekuvorrand(O$4,O$5,O$8,5,O$11,Lähteandmed!$C51,O65)</f>
        <v>102.00709104537964</v>
      </c>
      <c r="P66" s="22">
        <f>[1]!Olekuvorrand(P$4,P$5,P$8,5,P$11,Lähteandmed!$C51,P65)</f>
        <v>101.53096914291382</v>
      </c>
      <c r="Q66" s="22">
        <f>[1]!Olekuvorrand(Q$4,Q$5,Q$8,5,Q$11,Lähteandmed!$C51,Q65)</f>
        <v>102.19329595565796</v>
      </c>
      <c r="R66" s="22">
        <f>[1]!Olekuvorrand(R$4,R$5,R$8,5,R$11,Lähteandmed!$C51,R65)</f>
        <v>102.3748517036438</v>
      </c>
      <c r="S66" s="22"/>
      <c r="T66" s="22"/>
      <c r="U66" s="22"/>
      <c r="V66" s="22"/>
      <c r="W66" s="22"/>
    </row>
    <row r="67" spans="1:23" x14ac:dyDescent="0.2">
      <c r="A67" s="159"/>
      <c r="B67" s="174"/>
      <c r="C67" s="77" t="s">
        <v>105</v>
      </c>
      <c r="D67" s="9">
        <f>[1]!ripe(D66,D$11+Lähteandmed!$E51*D$13,D$4,0)</f>
        <v>13.11999894716269</v>
      </c>
      <c r="E67" s="9">
        <f>[1]!ripe(E66,E$11+Lähteandmed!$E51*E$13,E$4,0)</f>
        <v>12.916340038339314</v>
      </c>
      <c r="F67" s="9">
        <f>[1]!ripe(F66,F$11+Lähteandmed!$E51*F$13,F$4,0)</f>
        <v>12.71579978113218</v>
      </c>
      <c r="G67" s="9">
        <f>[1]!ripe(G66,G$11+Lähteandmed!$E51*G$13,G$4,0)</f>
        <v>8.226312026051847</v>
      </c>
      <c r="H67" s="9">
        <f>[1]!ripe(H66,H$11+Lähteandmed!$E51*H$13,H$4,0)</f>
        <v>12.109069688183437</v>
      </c>
      <c r="I67" s="9">
        <f>[1]!ripe(I66,I$11+Lähteandmed!$E51*I$13,I$4,0)</f>
        <v>11.700639395917475</v>
      </c>
      <c r="J67" s="9">
        <f>[1]!ripe(J66,J$11+Lähteandmed!$E51*J$13,J$4,0)</f>
        <v>10.894851088996338</v>
      </c>
      <c r="K67" s="9">
        <f>[1]!ripe(K66,K$11+Lähteandmed!$E51*K$13,K$4,0)</f>
        <v>15.370211556761951</v>
      </c>
      <c r="L67" s="9">
        <f>[1]!ripe(L66,L$11+Lähteandmed!$E51*L$13,L$4,0)</f>
        <v>11.360611394771187</v>
      </c>
      <c r="M67" s="9">
        <f>[1]!ripe(M66,M$11+Lähteandmed!$E51*M$13,M$4,0)</f>
        <v>14.234842694626137</v>
      </c>
      <c r="N67" s="9">
        <f>[1]!ripe(N66,N$11+Lähteandmed!$E51*N$13,N$4,0)</f>
        <v>13.931550186878576</v>
      </c>
      <c r="O67" s="9">
        <f>[1]!ripe(O66,O$11+Lähteandmed!$E51*O$13,O$4,0)</f>
        <v>10.891328785937763</v>
      </c>
      <c r="P67" s="9">
        <f>[1]!ripe(P66,P$11+Lähteandmed!$E51*P$13,P$4,0)</f>
        <v>8.5379101919759961</v>
      </c>
      <c r="Q67" s="9">
        <f>[1]!ripe(Q66,Q$11+Lähteandmed!$E51*Q$13,Q$4,0)</f>
        <v>9.0567080307346899</v>
      </c>
      <c r="R67" s="9">
        <f>[1]!ripe(R66,R$11+Lähteandmed!$E51*R$13,R$4,0)</f>
        <v>11.909999120473547</v>
      </c>
      <c r="S67" s="9"/>
      <c r="T67" s="9"/>
      <c r="U67" s="9"/>
      <c r="V67" s="9"/>
      <c r="W67" s="9"/>
    </row>
    <row r="68" spans="1:23" x14ac:dyDescent="0.2">
      <c r="A68" s="39"/>
      <c r="B68" s="174"/>
      <c r="C68" s="77" t="s">
        <v>49</v>
      </c>
      <c r="D68" s="51">
        <f t="shared" ref="D68:K68" si="49">D67/D$4^2*1000000</f>
        <v>65.602637258289818</v>
      </c>
      <c r="E68" s="51">
        <f t="shared" ref="E68:R68" si="50">E67/E$4^2*1000000</f>
        <v>65.689441633816372</v>
      </c>
      <c r="F68" s="51">
        <f t="shared" si="50"/>
        <v>65.585687287623855</v>
      </c>
      <c r="G68" s="51">
        <f t="shared" si="50"/>
        <v>66.100674276456274</v>
      </c>
      <c r="H68" s="51">
        <f t="shared" si="50"/>
        <v>65.545609782742687</v>
      </c>
      <c r="I68" s="51">
        <f t="shared" si="50"/>
        <v>65.736396175021866</v>
      </c>
      <c r="J68" s="51">
        <f t="shared" si="50"/>
        <v>65.330050069960521</v>
      </c>
      <c r="K68" s="51">
        <f t="shared" si="50"/>
        <v>69.728898017780622</v>
      </c>
      <c r="L68" s="51">
        <f t="shared" si="50"/>
        <v>68.058084737136781</v>
      </c>
      <c r="M68" s="51">
        <f t="shared" si="50"/>
        <v>65.37534924400147</v>
      </c>
      <c r="N68" s="51">
        <f t="shared" si="50"/>
        <v>65.402863913120783</v>
      </c>
      <c r="O68" s="51">
        <f t="shared" si="50"/>
        <v>65.559167813391994</v>
      </c>
      <c r="P68" s="51">
        <f t="shared" si="50"/>
        <v>65.866602638124647</v>
      </c>
      <c r="Q68" s="51">
        <f t="shared" si="50"/>
        <v>65.439713412333134</v>
      </c>
      <c r="R68" s="51">
        <f t="shared" si="50"/>
        <v>65.323659948822893</v>
      </c>
      <c r="S68" s="51"/>
      <c r="T68" s="51"/>
      <c r="U68" s="51"/>
      <c r="V68" s="51"/>
      <c r="W68" s="51"/>
    </row>
    <row r="69" spans="1:23" ht="38.25" x14ac:dyDescent="0.2">
      <c r="A69" s="172">
        <v>11</v>
      </c>
      <c r="B69" s="173" t="str">
        <f>Lähteandmed!B54</f>
        <v>Peale venimist EDS</v>
      </c>
      <c r="C69" s="76" t="s">
        <v>222</v>
      </c>
      <c r="D69" s="6">
        <f>SQRT((kaalutegur R_11*[1]!juhe(D5,6)+jaitetegur R_11*[1]!Jaitekoormus_EN(D$5,JaideJ,hj))^2+(tuuletegur R_11*[1]!Tuulekoormus_en(D$5,Qt,ht,zo,D$4,JaideJ,jaitetegur R_11))^2)</f>
        <v>5.3499999999999999E-2</v>
      </c>
      <c r="E69" s="6">
        <f>SQRT((kaalutegur R_11*[1]!juhe(E5,6)+jaitetegur R_11*[1]!Jaitekoormus_EN(E$5,JaideJ,hj))^2+(tuuletegur R_11*[1]!Tuulekoormus_en(E$5,Qt,ht,zo,E$4,JaideJ,jaitetegur R_11))^2)</f>
        <v>5.3499999999999999E-2</v>
      </c>
      <c r="F69" s="6">
        <f>SQRT((kaalutegur R_11*[1]!juhe(F5,6)+jaitetegur R_11*[1]!Jaitekoormus_EN(F$5,JaideJ,hj))^2+(tuuletegur R_11*[1]!Tuulekoormus_en(F$5,Qt,ht,zo,F$4,JaideJ,jaitetegur R_11))^2)</f>
        <v>5.3499999999999999E-2</v>
      </c>
      <c r="G69" s="6">
        <f>SQRT((kaalutegur R_11*[1]!juhe(G5,6)+jaitetegur R_11*[1]!Jaitekoormus_EN(G$5,JaideJ,hj))^2+(tuuletegur R_11*[1]!Tuulekoormus_en(G$5,Qt,ht,zo,G$4,JaideJ,jaitetegur R_11))^2)</f>
        <v>5.3499999999999999E-2</v>
      </c>
      <c r="H69" s="6">
        <f>SQRT((kaalutegur R_11*[1]!juhe(H5,6)+jaitetegur R_11*[1]!Jaitekoormus_EN(H$5,JaideJ,hj))^2+(tuuletegur R_11*[1]!Tuulekoormus_en(H$5,Qt,ht,zo,H$4,JaideJ,jaitetegur R_11))^2)</f>
        <v>5.3499999999999999E-2</v>
      </c>
      <c r="I69" s="6">
        <f>SQRT((kaalutegur R_11*[1]!juhe(I5,6)+jaitetegur R_11*[1]!Jaitekoormus_EN(I$5,JaideJ,hj))^2+(tuuletegur R_11*[1]!Tuulekoormus_en(I$5,Qt,ht,zo,I$4,JaideJ,jaitetegur R_11))^2)</f>
        <v>5.3499999999999999E-2</v>
      </c>
      <c r="J69" s="6">
        <f>SQRT((kaalutegur R_11*[1]!juhe(J5,6)+jaitetegur R_11*[1]!Jaitekoormus_EN(J$5,JaideJ,hj))^2+(tuuletegur R_11*[1]!Tuulekoormus_en(J$5,Qt,ht,zo,J$4,JaideJ,jaitetegur R_11))^2)</f>
        <v>5.3499999999999999E-2</v>
      </c>
      <c r="K69" s="6">
        <f>SQRT((kaalutegur R_11*[1]!juhe(K5,6)+jaitetegur R_11*[1]!Jaitekoormus_EN(K$5,JaideJ,hj))^2+(tuuletegur R_11*[1]!Tuulekoormus_en(K$5,Qt,ht,zo,K$4,JaideJ,jaitetegur R_11))^2)</f>
        <v>5.3499999999999999E-2</v>
      </c>
      <c r="L69" s="6">
        <f>SQRT((kaalutegur R_11*[1]!juhe(L5,6)+jaitetegur R_11*[1]!Jaitekoormus_EN(L$5,JaideJ,hj))^2+(tuuletegur R_11*[1]!Tuulekoormus_en(L$5,Qt,ht,zo,L$4,JaideJ,jaitetegur R_11))^2)</f>
        <v>5.3499999999999999E-2</v>
      </c>
      <c r="M69" s="6">
        <f>SQRT((kaalutegur R_11*[1]!juhe(M5,6)+jaitetegur R_11*[1]!Jaitekoormus_EN(M$5,JaideJ,hj))^2+(tuuletegur R_11*[1]!Tuulekoormus_en(M$5,Qt,ht,zo,M$4,JaideJ,jaitetegur R_11))^2)</f>
        <v>5.3499999999999999E-2</v>
      </c>
      <c r="N69" s="6">
        <f>SQRT((kaalutegur R_11*[1]!juhe(N5,6)+jaitetegur R_11*[1]!Jaitekoormus_EN(N$5,JaideJ,hj))^2+(tuuletegur R_11*[1]!Tuulekoormus_en(N$5,Qt,ht,zo,N$4,JaideJ,jaitetegur R_11))^2)</f>
        <v>5.3499999999999999E-2</v>
      </c>
      <c r="O69" s="6">
        <f>SQRT((kaalutegur R_11*[1]!juhe(O5,6)+jaitetegur R_11*[1]!Jaitekoormus_EN(O$5,JaideJ,hj))^2+(tuuletegur R_11*[1]!Tuulekoormus_en(O$5,Qt,ht,zo,O$4,JaideJ,jaitetegur R_11))^2)</f>
        <v>5.3499999999999999E-2</v>
      </c>
      <c r="P69" s="6">
        <f>SQRT((kaalutegur R_11*[1]!juhe(P5,6)+jaitetegur R_11*[1]!Jaitekoormus_EN(P$5,JaideJ,hj))^2+(tuuletegur R_11*[1]!Tuulekoormus_en(P$5,Qt,ht,zo,P$4,JaideJ,jaitetegur R_11))^2)</f>
        <v>5.3499999999999999E-2</v>
      </c>
      <c r="Q69" s="6">
        <f>SQRT((kaalutegur R_11*[1]!juhe(Q5,6)+jaitetegur R_11*[1]!Jaitekoormus_EN(Q$5,JaideJ,hj))^2+(tuuletegur R_11*[1]!Tuulekoormus_en(Q$5,Qt,ht,zo,Q$4,JaideJ,jaitetegur R_11))^2)</f>
        <v>5.3499999999999999E-2</v>
      </c>
      <c r="R69" s="6">
        <f>SQRT((kaalutegur R_11*[1]!juhe(R5,6)+jaitetegur R_11*[1]!Jaitekoormus_EN(R$5,JaideJ,hj))^2+(tuuletegur R_11*[1]!Tuulekoormus_en(R$5,Qt,ht,zo,R$4,JaideJ,jaitetegur R_11))^2)</f>
        <v>5.3499999999999999E-2</v>
      </c>
      <c r="S69" s="6"/>
      <c r="T69" s="6"/>
      <c r="U69" s="6"/>
      <c r="V69" s="6"/>
      <c r="W69" s="6"/>
    </row>
    <row r="70" spans="1:23" x14ac:dyDescent="0.2">
      <c r="A70" s="172"/>
      <c r="B70" s="173"/>
      <c r="C70" s="76" t="s">
        <v>104</v>
      </c>
      <c r="D70" s="3">
        <f>[1]!Olekuvorrand(D$4,D$5,D$8,5,D$11,Lähteandmed!$C54,D69)</f>
        <v>106.98610544204712</v>
      </c>
      <c r="E70" s="3">
        <f>[1]!Olekuvorrand(E$4,E$5,E$8,5,E$11,Lähteandmed!$C54,E69)</f>
        <v>106.91374540328979</v>
      </c>
      <c r="F70" s="3">
        <f>[1]!Olekuvorrand(F$4,F$5,F$8,5,F$11,Lähteandmed!$C54,F69)</f>
        <v>107.16515779495239</v>
      </c>
      <c r="G70" s="3">
        <f>[1]!Olekuvorrand(G$4,G$5,G$8,5,G$11,Lähteandmed!$C54,G69)</f>
        <v>108.82061719894409</v>
      </c>
      <c r="H70" s="3">
        <f>[1]!Olekuvorrand(H$4,H$5,H$8,5,H$11,Lähteandmed!$C54,H69)</f>
        <v>107.47653245925903</v>
      </c>
      <c r="I70" s="3">
        <f>[1]!Olekuvorrand(I$4,I$5,I$8,5,I$11,Lähteandmed!$C54,I69)</f>
        <v>107.32823610305786</v>
      </c>
      <c r="J70" s="3">
        <f>[1]!Olekuvorrand(J$4,J$5,J$8,5,J$11,Lähteandmed!$C54,J69)</f>
        <v>108.4098219871521</v>
      </c>
      <c r="K70" s="3">
        <f>[1]!Olekuvorrand(K$4,K$5,K$8,5,K$11,Lähteandmed!$C54,K69)</f>
        <v>99.788844585418701</v>
      </c>
      <c r="L70" s="3">
        <f>[1]!Olekuvorrand(L$4,L$5,L$8,5,L$11,Lähteandmed!$C54,L69)</f>
        <v>103.66660356521606</v>
      </c>
      <c r="M70" s="3">
        <f>[1]!Olekuvorrand(M$4,M$5,M$8,5,M$11,Lähteandmed!$C54,M69)</f>
        <v>106.99707269668579</v>
      </c>
      <c r="N70" s="3">
        <f>[1]!Olekuvorrand(N$4,N$5,N$8,5,N$11,Lähteandmed!$C54,N69)</f>
        <v>107.04678297042847</v>
      </c>
      <c r="O70" s="3">
        <f>[1]!Olekuvorrand(O$4,O$5,O$8,5,O$11,Lähteandmed!$C54,O69)</f>
        <v>108.01655054092407</v>
      </c>
      <c r="P70" s="3">
        <f>[1]!Olekuvorrand(P$4,P$5,P$8,5,P$11,Lähteandmed!$C54,P69)</f>
        <v>108.9739203453064</v>
      </c>
      <c r="Q70" s="3">
        <f>[1]!Olekuvorrand(Q$4,Q$5,Q$8,5,Q$11,Lähteandmed!$C54,Q69)</f>
        <v>109.32964086532593</v>
      </c>
      <c r="R70" s="3">
        <f>[1]!Olekuvorrand(R$4,R$5,R$8,5,R$11,Lähteandmed!$C54,R69)</f>
        <v>107.94180631637573</v>
      </c>
      <c r="S70" s="3"/>
      <c r="T70" s="3"/>
      <c r="U70" s="3"/>
      <c r="V70" s="3"/>
      <c r="W70" s="3"/>
    </row>
    <row r="71" spans="1:23" x14ac:dyDescent="0.2">
      <c r="A71" s="172"/>
      <c r="B71" s="173"/>
      <c r="C71" s="76" t="s">
        <v>105</v>
      </c>
      <c r="D71" s="3">
        <f>[1]!ripe(D70,D$11+Lähteandmed!$E54*D$13,D$4,0)</f>
        <v>12.50111983224596</v>
      </c>
      <c r="E71" s="3">
        <f>[1]!ripe(E70,E$11+Lähteandmed!$E54*E$13,E$4,0)</f>
        <v>12.299123161607939</v>
      </c>
      <c r="F71" s="3">
        <f>[1]!ripe(F70,F$11+Lähteandmed!$E54*F$13,F$4,0)</f>
        <v>12.098869553527392</v>
      </c>
      <c r="G71" s="3">
        <f>[1]!ripe(G70,G$11+Lähteandmed!$E54*G$13,G$4,0)</f>
        <v>7.6480707885875203</v>
      </c>
      <c r="H71" s="3">
        <f>[1]!ripe(H70,H$11+Lähteandmed!$E54*H$13,H$4,0)</f>
        <v>11.495220843042681</v>
      </c>
      <c r="I71" s="3">
        <f>[1]!ripe(I70,I$11+Lähteandmed!$E54*I$13,I$4,0)</f>
        <v>11.090560790907949</v>
      </c>
      <c r="J71" s="3">
        <f>[1]!ripe(J70,J$11+Lähteandmed!$E54*J$13,J$4,0)</f>
        <v>10.287348947358057</v>
      </c>
      <c r="K71" s="3">
        <f>[1]!ripe(K70,K$11+Lähteandmed!$E54*K$13,K$4,0)</f>
        <v>14.772324677627424</v>
      </c>
      <c r="L71" s="3">
        <f>[1]!ripe(L70,L$11+Lähteandmed!$E54*L$13,L$4,0)</f>
        <v>10.768294050281705</v>
      </c>
      <c r="M71" s="3">
        <f>[1]!ripe(M70,M$11+Lähteandmed!$E54*M$13,M$4,0)</f>
        <v>13.609135846276105</v>
      </c>
      <c r="N71" s="3">
        <f>[1]!ripe(N70,N$11+Lähteandmed!$E54*N$13,N$4,0)</f>
        <v>13.307389011110793</v>
      </c>
      <c r="O71" s="3">
        <f>[1]!ripe(O70,O$11+Lähteandmed!$E54*O$13,O$4,0)</f>
        <v>10.285393872593602</v>
      </c>
      <c r="P71" s="3">
        <f>[1]!ripe(P70,P$11+Lähteandmed!$E54*P$13,P$4,0)</f>
        <v>7.9547683840285082</v>
      </c>
      <c r="Q71" s="3">
        <f>[1]!ripe(Q70,Q$11+Lähteandmed!$E54*Q$13,Q$4,0)</f>
        <v>8.4655436242486477</v>
      </c>
      <c r="R71" s="3">
        <f>[1]!ripe(R70,R$11+Lähteandmed!$E54*R$13,R$4,0)</f>
        <v>11.295756809695256</v>
      </c>
      <c r="S71" s="3"/>
      <c r="T71" s="3"/>
      <c r="U71" s="3"/>
      <c r="V71" s="3"/>
      <c r="W71" s="3"/>
    </row>
    <row r="72" spans="1:23" x14ac:dyDescent="0.2">
      <c r="A72" s="42"/>
      <c r="B72" s="173"/>
      <c r="C72" s="76" t="s">
        <v>49</v>
      </c>
      <c r="D72" s="50">
        <f t="shared" ref="D72:K72" si="51">D71/D$4^2*1000000</f>
        <v>62.50811703415566</v>
      </c>
      <c r="E72" s="50">
        <f t="shared" ref="E72:R72" si="52">E71/E$4^2*1000000</f>
        <v>62.550423004769428</v>
      </c>
      <c r="F72" s="50">
        <f t="shared" si="52"/>
        <v>62.40367800134932</v>
      </c>
      <c r="G72" s="50">
        <f t="shared" si="52"/>
        <v>61.454347274781767</v>
      </c>
      <c r="H72" s="50">
        <f t="shared" si="52"/>
        <v>62.222885749826553</v>
      </c>
      <c r="I72" s="50">
        <f t="shared" si="52"/>
        <v>62.308859651607264</v>
      </c>
      <c r="J72" s="50">
        <f t="shared" si="52"/>
        <v>61.687215027366712</v>
      </c>
      <c r="K72" s="50">
        <f t="shared" si="52"/>
        <v>67.016508987390239</v>
      </c>
      <c r="L72" s="50">
        <f t="shared" si="52"/>
        <v>64.509685569016753</v>
      </c>
      <c r="M72" s="50">
        <f t="shared" si="52"/>
        <v>62.501709920211162</v>
      </c>
      <c r="N72" s="50">
        <f t="shared" si="52"/>
        <v>62.472685441162795</v>
      </c>
      <c r="O72" s="50">
        <f t="shared" si="52"/>
        <v>61.911808574800915</v>
      </c>
      <c r="P72" s="50">
        <f t="shared" si="52"/>
        <v>61.367894068684265</v>
      </c>
      <c r="Q72" s="50">
        <f t="shared" si="52"/>
        <v>61.168224344921917</v>
      </c>
      <c r="R72" s="50">
        <f t="shared" si="52"/>
        <v>61.954679361201741</v>
      </c>
      <c r="S72" s="50"/>
      <c r="T72" s="50"/>
      <c r="U72" s="50"/>
      <c r="V72" s="50"/>
      <c r="W72" s="50"/>
    </row>
    <row r="73" spans="1:23" ht="38.25" x14ac:dyDescent="0.2">
      <c r="A73" s="159">
        <v>12</v>
      </c>
      <c r="B73" s="174" t="str">
        <f>Lähteandmed!B57</f>
        <v>Peale venimist Tmax</v>
      </c>
      <c r="C73" s="77" t="s">
        <v>222</v>
      </c>
      <c r="D73" s="9">
        <f>SQRT((kaalutegur R_12*[1]!juhe(D5,6)+jaitetegur R_12*[1]!Jaitekoormus_EN(D$5,JaideJ,hj))^2+(tuuletegur R_12*[1]!Tuulekoormus_en(D$5,Qt,ht,zo,D$4,JaideJ,jaitetegur R_12))^2)</f>
        <v>5.3499999999999999E-2</v>
      </c>
      <c r="E73" s="9">
        <f>SQRT((kaalutegur R_12*[1]!juhe(E5,6)+jaitetegur R_12*[1]!Jaitekoormus_EN(E$5,JaideJ,hj))^2+(tuuletegur R_12*[1]!Tuulekoormus_en(E$5,Qt,ht,zo,E$4,JaideJ,jaitetegur R_12))^2)</f>
        <v>5.3499999999999999E-2</v>
      </c>
      <c r="F73" s="9">
        <f>SQRT((kaalutegur R_12*[1]!juhe(F5,6)+jaitetegur R_12*[1]!Jaitekoormus_EN(F$5,JaideJ,hj))^2+(tuuletegur R_12*[1]!Tuulekoormus_en(F$5,Qt,ht,zo,F$4,JaideJ,jaitetegur R_12))^2)</f>
        <v>5.3499999999999999E-2</v>
      </c>
      <c r="G73" s="9">
        <f>SQRT((kaalutegur R_12*[1]!juhe(G5,6)+jaitetegur R_12*[1]!Jaitekoormus_EN(G$5,JaideJ,hj))^2+(tuuletegur R_12*[1]!Tuulekoormus_en(G$5,Qt,ht,zo,G$4,JaideJ,jaitetegur R_12))^2)</f>
        <v>5.3499999999999999E-2</v>
      </c>
      <c r="H73" s="9">
        <f>SQRT((kaalutegur R_12*[1]!juhe(H5,6)+jaitetegur R_12*[1]!Jaitekoormus_EN(H$5,JaideJ,hj))^2+(tuuletegur R_12*[1]!Tuulekoormus_en(H$5,Qt,ht,zo,H$4,JaideJ,jaitetegur R_12))^2)</f>
        <v>5.3499999999999999E-2</v>
      </c>
      <c r="I73" s="9">
        <f>SQRT((kaalutegur R_12*[1]!juhe(I5,6)+jaitetegur R_12*[1]!Jaitekoormus_EN(I$5,JaideJ,hj))^2+(tuuletegur R_12*[1]!Tuulekoormus_en(I$5,Qt,ht,zo,I$4,JaideJ,jaitetegur R_12))^2)</f>
        <v>5.3499999999999999E-2</v>
      </c>
      <c r="J73" s="9">
        <f>SQRT((kaalutegur R_12*[1]!juhe(J5,6)+jaitetegur R_12*[1]!Jaitekoormus_EN(J$5,JaideJ,hj))^2+(tuuletegur R_12*[1]!Tuulekoormus_en(J$5,Qt,ht,zo,J$4,JaideJ,jaitetegur R_12))^2)</f>
        <v>5.3499999999999999E-2</v>
      </c>
      <c r="K73" s="9">
        <f>SQRT((kaalutegur R_12*[1]!juhe(K5,6)+jaitetegur R_12*[1]!Jaitekoormus_EN(K$5,JaideJ,hj))^2+(tuuletegur R_12*[1]!Tuulekoormus_en(K$5,Qt,ht,zo,K$4,JaideJ,jaitetegur R_12))^2)</f>
        <v>5.3499999999999999E-2</v>
      </c>
      <c r="L73" s="9">
        <f>SQRT((kaalutegur R_12*[1]!juhe(L5,6)+jaitetegur R_12*[1]!Jaitekoormus_EN(L$5,JaideJ,hj))^2+(tuuletegur R_12*[1]!Tuulekoormus_en(L$5,Qt,ht,zo,L$4,JaideJ,jaitetegur R_12))^2)</f>
        <v>5.3499999999999999E-2</v>
      </c>
      <c r="M73" s="9">
        <f>SQRT((kaalutegur R_12*[1]!juhe(M5,6)+jaitetegur R_12*[1]!Jaitekoormus_EN(M$5,JaideJ,hj))^2+(tuuletegur R_12*[1]!Tuulekoormus_en(M$5,Qt,ht,zo,M$4,JaideJ,jaitetegur R_12))^2)</f>
        <v>5.3499999999999999E-2</v>
      </c>
      <c r="N73" s="9">
        <f>SQRT((kaalutegur R_12*[1]!juhe(N5,6)+jaitetegur R_12*[1]!Jaitekoormus_EN(N$5,JaideJ,hj))^2+(tuuletegur R_12*[1]!Tuulekoormus_en(N$5,Qt,ht,zo,N$4,JaideJ,jaitetegur R_12))^2)</f>
        <v>5.3499999999999999E-2</v>
      </c>
      <c r="O73" s="9">
        <f>SQRT((kaalutegur R_12*[1]!juhe(O5,6)+jaitetegur R_12*[1]!Jaitekoormus_EN(O$5,JaideJ,hj))^2+(tuuletegur R_12*[1]!Tuulekoormus_en(O$5,Qt,ht,zo,O$4,JaideJ,jaitetegur R_12))^2)</f>
        <v>5.3499999999999999E-2</v>
      </c>
      <c r="P73" s="9">
        <f>SQRT((kaalutegur R_12*[1]!juhe(P5,6)+jaitetegur R_12*[1]!Jaitekoormus_EN(P$5,JaideJ,hj))^2+(tuuletegur R_12*[1]!Tuulekoormus_en(P$5,Qt,ht,zo,P$4,JaideJ,jaitetegur R_12))^2)</f>
        <v>5.3499999999999999E-2</v>
      </c>
      <c r="Q73" s="9">
        <f>SQRT((kaalutegur R_12*[1]!juhe(Q5,6)+jaitetegur R_12*[1]!Jaitekoormus_EN(Q$5,JaideJ,hj))^2+(tuuletegur R_12*[1]!Tuulekoormus_en(Q$5,Qt,ht,zo,Q$4,JaideJ,jaitetegur R_12))^2)</f>
        <v>5.3499999999999999E-2</v>
      </c>
      <c r="R73" s="9">
        <f>SQRT((kaalutegur R_12*[1]!juhe(R5,6)+jaitetegur R_12*[1]!Jaitekoormus_EN(R$5,JaideJ,hj))^2+(tuuletegur R_12*[1]!Tuulekoormus_en(R$5,Qt,ht,zo,R$4,JaideJ,jaitetegur R_12))^2)</f>
        <v>5.3499999999999999E-2</v>
      </c>
      <c r="S73" s="9"/>
      <c r="T73" s="9"/>
      <c r="U73" s="9"/>
      <c r="V73" s="9"/>
      <c r="W73" s="9"/>
    </row>
    <row r="74" spans="1:23" x14ac:dyDescent="0.2">
      <c r="A74" s="159"/>
      <c r="B74" s="174"/>
      <c r="C74" s="77" t="s">
        <v>104</v>
      </c>
      <c r="D74" s="22">
        <f>[1]!Olekuvorrand(D$4,D$5,D$8,5,D$11,Lähteandmed!$C57,D73)</f>
        <v>97.481071949005127</v>
      </c>
      <c r="E74" s="22">
        <f>[1]!Olekuvorrand(E$4,E$5,E$8,5,E$11,Lähteandmed!$C57,E73)</f>
        <v>97.297608852386475</v>
      </c>
      <c r="F74" s="22">
        <f>[1]!Olekuvorrand(F$4,F$5,F$8,5,F$11,Lähteandmed!$C57,F73)</f>
        <v>97.386538982391357</v>
      </c>
      <c r="G74" s="22">
        <f>[1]!Olekuvorrand(G$4,G$5,G$8,5,G$11,Lähteandmed!$C57,G73)</f>
        <v>94.739377498626709</v>
      </c>
      <c r="H74" s="22">
        <f>[1]!Olekuvorrand(H$4,H$5,H$8,5,H$11,Lähteandmed!$C57,H73)</f>
        <v>97.252786159515381</v>
      </c>
      <c r="I74" s="22">
        <f>[1]!Olekuvorrand(I$4,I$5,I$8,5,I$11,Lähteandmed!$C57,I73)</f>
        <v>96.843183040618896</v>
      </c>
      <c r="J74" s="22">
        <f>[1]!Olekuvorrand(J$4,J$5,J$8,5,J$11,Lähteandmed!$C57,J73)</f>
        <v>97.124755382537842</v>
      </c>
      <c r="K74" s="22">
        <f>[1]!Olekuvorrand(K$4,K$5,K$8,5,K$11,Lähteandmed!$C57,K73)</f>
        <v>92.413008213043213</v>
      </c>
      <c r="L74" s="22">
        <f>[1]!Olekuvorrand(L$4,L$5,L$8,5,L$11,Lähteandmed!$C57,L73)</f>
        <v>93.542516231536865</v>
      </c>
      <c r="M74" s="22">
        <f>[1]!Olekuvorrand(M$4,M$5,M$8,5,M$11,Lähteandmed!$C57,M73)</f>
        <v>98.107755184173584</v>
      </c>
      <c r="N74" s="22">
        <f>[1]!Olekuvorrand(N$4,N$5,N$8,5,N$11,Lähteandmed!$C57,N73)</f>
        <v>97.990453243255615</v>
      </c>
      <c r="O74" s="22">
        <f>[1]!Olekuvorrand(O$4,O$5,O$8,5,O$11,Lähteandmed!$C57,O73)</f>
        <v>96.796810626983643</v>
      </c>
      <c r="P74" s="22">
        <f>[1]!Olekuvorrand(P$4,P$5,P$8,5,P$11,Lähteandmed!$C57,P73)</f>
        <v>95.246732234954834</v>
      </c>
      <c r="Q74" s="22">
        <f>[1]!Olekuvorrand(Q$4,Q$5,Q$8,5,Q$11,Lähteandmed!$C57,Q73)</f>
        <v>96.129834651947021</v>
      </c>
      <c r="R74" s="22">
        <f>[1]!Olekuvorrand(R$4,R$5,R$8,5,R$11,Lähteandmed!$C57,R73)</f>
        <v>97.504794597625732</v>
      </c>
      <c r="S74" s="22"/>
      <c r="T74" s="22"/>
      <c r="U74" s="22"/>
      <c r="V74" s="22"/>
      <c r="W74" s="22"/>
    </row>
    <row r="75" spans="1:23" x14ac:dyDescent="0.2">
      <c r="A75" s="159"/>
      <c r="B75" s="174"/>
      <c r="C75" s="77" t="s">
        <v>105</v>
      </c>
      <c r="D75" s="9">
        <f>[1]!ripe(D74,D$11+Lähteandmed!$E57*D$13,D$4,0)</f>
        <v>13.720059676980012</v>
      </c>
      <c r="E75" s="9">
        <f>[1]!ripe(E74,E$11+Lähteandmed!$E57*E$13,E$4,0)</f>
        <v>13.514672538138161</v>
      </c>
      <c r="F75" s="9">
        <f>[1]!ripe(F74,F$11+Lähteandmed!$E57*F$13,F$4,0)</f>
        <v>13.313721571712746</v>
      </c>
      <c r="G75" s="9">
        <f>[1]!ripe(G74,G$11+Lähteandmed!$E57*G$13,G$4,0)</f>
        <v>8.7848137233894441</v>
      </c>
      <c r="H75" s="9">
        <f>[1]!ripe(H74,H$11+Lähteandmed!$E57*H$13,H$4,0)</f>
        <v>12.703661507827634</v>
      </c>
      <c r="I75" s="9">
        <f>[1]!ripe(I74,I$11+Lähteandmed!$E57*I$13,I$4,0)</f>
        <v>12.291317671607558</v>
      </c>
      <c r="J75" s="9">
        <f>[1]!ripe(J74,J$11+Lähteandmed!$E57*J$13,J$4,0)</f>
        <v>11.482650985428535</v>
      </c>
      <c r="K75" s="9">
        <f>[1]!ripe(K74,K$11+Lähteandmed!$E57*K$13,K$4,0)</f>
        <v>15.951360527327271</v>
      </c>
      <c r="L75" s="9">
        <f>[1]!ripe(L74,L$11+Lähteandmed!$E57*L$13,L$4,0)</f>
        <v>11.933744305328783</v>
      </c>
      <c r="M75" s="9">
        <f>[1]!ripe(M74,M$11+Lähteandmed!$E57*M$13,M$4,0)</f>
        <v>14.842228269819552</v>
      </c>
      <c r="N75" s="9">
        <f>[1]!ripe(N74,N$11+Lähteandmed!$E57*N$13,N$4,0)</f>
        <v>14.5372649704882</v>
      </c>
      <c r="O75" s="9">
        <f>[1]!ripe(O74,O$11+Lähteandmed!$E57*O$13,O$4,0)</f>
        <v>11.477576170909609</v>
      </c>
      <c r="P75" s="9">
        <f>[1]!ripe(P74,P$11+Lähteandmed!$E57*P$13,P$4,0)</f>
        <v>9.1012287341061384</v>
      </c>
      <c r="Q75" s="9">
        <f>[1]!ripe(Q74,Q$11+Lähteandmed!$E57*Q$13,Q$4,0)</f>
        <v>9.627966671532274</v>
      </c>
      <c r="R75" s="9">
        <f>[1]!ripe(R74,R$11+Lähteandmed!$E57*R$13,R$4,0)</f>
        <v>12.504866030236192</v>
      </c>
      <c r="S75" s="9"/>
      <c r="T75" s="9"/>
      <c r="U75" s="9"/>
      <c r="V75" s="9"/>
      <c r="W75" s="9"/>
    </row>
    <row r="76" spans="1:23" x14ac:dyDescent="0.2">
      <c r="A76" s="39"/>
      <c r="B76" s="174"/>
      <c r="C76" s="77" t="s">
        <v>49</v>
      </c>
      <c r="D76" s="51">
        <f t="shared" ref="D76:K76" si="53">D75/D$4^2*1000000</f>
        <v>68.603061766682288</v>
      </c>
      <c r="E76" s="51">
        <f t="shared" ref="E76:R76" si="54">E75/E$4^2*1000000</f>
        <v>68.732418801224966</v>
      </c>
      <c r="F76" s="51">
        <f t="shared" si="54"/>
        <v>68.669654655343876</v>
      </c>
      <c r="G76" s="51">
        <f t="shared" si="54"/>
        <v>70.588388657049592</v>
      </c>
      <c r="H76" s="51">
        <f t="shared" si="54"/>
        <v>68.76409678413809</v>
      </c>
      <c r="I76" s="51">
        <f t="shared" si="54"/>
        <v>69.054937993880941</v>
      </c>
      <c r="J76" s="51">
        <f t="shared" si="54"/>
        <v>68.8547422710148</v>
      </c>
      <c r="K76" s="51">
        <f t="shared" si="54"/>
        <v>72.365353420625084</v>
      </c>
      <c r="L76" s="51">
        <f t="shared" si="54"/>
        <v>71.491555598601494</v>
      </c>
      <c r="M76" s="51">
        <f t="shared" si="54"/>
        <v>68.164845760111788</v>
      </c>
      <c r="N76" s="51">
        <f t="shared" si="54"/>
        <v>68.246444206137809</v>
      </c>
      <c r="O76" s="51">
        <f t="shared" si="54"/>
        <v>69.088020118461984</v>
      </c>
      <c r="P76" s="51">
        <f t="shared" si="54"/>
        <v>70.212382546660606</v>
      </c>
      <c r="Q76" s="51">
        <f t="shared" si="54"/>
        <v>69.567372337767253</v>
      </c>
      <c r="R76" s="51">
        <f t="shared" si="54"/>
        <v>68.586370830248811</v>
      </c>
      <c r="S76" s="51"/>
      <c r="T76" s="51"/>
      <c r="U76" s="51"/>
      <c r="V76" s="51"/>
      <c r="W76" s="51"/>
    </row>
    <row r="77" spans="1:23" ht="38.25" x14ac:dyDescent="0.2">
      <c r="A77" s="172">
        <v>13</v>
      </c>
      <c r="B77" s="173">
        <f>Lähteandmed!B60</f>
        <v>0</v>
      </c>
      <c r="C77" s="76" t="s">
        <v>222</v>
      </c>
      <c r="D77" s="6">
        <f>SQRT((kaalutegur R_13*[1]!juhe(D5,6)+jaitetegur R_13*[1]!Jaitekoormus_EN(D$5,JaideJ,hj))^2+(tuuletegur R_13*[1]!Tuulekoormus_en(D$5,Qt,ht,zo,D$4,JaideJ,jaitetegur R_13))^2)</f>
        <v>0</v>
      </c>
      <c r="E77" s="6">
        <f>SQRT((kaalutegur R_13*[1]!juhe(E5,6)+jaitetegur R_13*[1]!Jaitekoormus_EN(E$5,JaideJ,hj))^2+(tuuletegur R_13*[1]!Tuulekoormus_en(E$5,Qt,ht,zo,E$4,JaideJ,jaitetegur R_13))^2)</f>
        <v>0</v>
      </c>
      <c r="F77" s="6">
        <f>SQRT((kaalutegur R_13*[1]!juhe(F5,6)+jaitetegur R_13*[1]!Jaitekoormus_EN(F$5,JaideJ,hj))^2+(tuuletegur R_13*[1]!Tuulekoormus_en(F$5,Qt,ht,zo,F$4,JaideJ,jaitetegur R_13))^2)</f>
        <v>0</v>
      </c>
      <c r="G77" s="6">
        <f>SQRT((kaalutegur R_13*[1]!juhe(G5,6)+jaitetegur R_13*[1]!Jaitekoormus_EN(G$5,JaideJ,hj))^2+(tuuletegur R_13*[1]!Tuulekoormus_en(G$5,Qt,ht,zo,G$4,JaideJ,jaitetegur R_13))^2)</f>
        <v>0</v>
      </c>
      <c r="H77" s="6">
        <f>SQRT((kaalutegur R_13*[1]!juhe(H5,6)+jaitetegur R_13*[1]!Jaitekoormus_EN(H$5,JaideJ,hj))^2+(tuuletegur R_13*[1]!Tuulekoormus_en(H$5,Qt,ht,zo,H$4,JaideJ,jaitetegur R_13))^2)</f>
        <v>0</v>
      </c>
      <c r="I77" s="6">
        <f>SQRT((kaalutegur R_13*[1]!juhe(I5,6)+jaitetegur R_13*[1]!Jaitekoormus_EN(I$5,JaideJ,hj))^2+(tuuletegur R_13*[1]!Tuulekoormus_en(I$5,Qt,ht,zo,I$4,JaideJ,jaitetegur R_13))^2)</f>
        <v>0</v>
      </c>
      <c r="J77" s="6">
        <f>SQRT((kaalutegur R_13*[1]!juhe(J5,6)+jaitetegur R_13*[1]!Jaitekoormus_EN(J$5,JaideJ,hj))^2+(tuuletegur R_13*[1]!Tuulekoormus_en(J$5,Qt,ht,zo,J$4,JaideJ,jaitetegur R_13))^2)</f>
        <v>0</v>
      </c>
      <c r="K77" s="6">
        <f>SQRT((kaalutegur R_13*[1]!juhe(K5,6)+jaitetegur R_13*[1]!Jaitekoormus_EN(K$5,JaideJ,hj))^2+(tuuletegur R_13*[1]!Tuulekoormus_en(K$5,Qt,ht,zo,K$4,JaideJ,jaitetegur R_13))^2)</f>
        <v>0</v>
      </c>
      <c r="L77" s="6">
        <f>SQRT((kaalutegur R_13*[1]!juhe(L5,6)+jaitetegur R_13*[1]!Jaitekoormus_EN(L$5,JaideJ,hj))^2+(tuuletegur R_13*[1]!Tuulekoormus_en(L$5,Qt,ht,zo,L$4,JaideJ,jaitetegur R_13))^2)</f>
        <v>0</v>
      </c>
      <c r="M77" s="6">
        <f>SQRT((kaalutegur R_13*[1]!juhe(M5,6)+jaitetegur R_13*[1]!Jaitekoormus_EN(M$5,JaideJ,hj))^2+(tuuletegur R_13*[1]!Tuulekoormus_en(M$5,Qt,ht,zo,M$4,JaideJ,jaitetegur R_13))^2)</f>
        <v>0</v>
      </c>
      <c r="N77" s="6">
        <f>SQRT((kaalutegur R_13*[1]!juhe(N5,6)+jaitetegur R_13*[1]!Jaitekoormus_EN(N$5,JaideJ,hj))^2+(tuuletegur R_13*[1]!Tuulekoormus_en(N$5,Qt,ht,zo,N$4,JaideJ,jaitetegur R_13))^2)</f>
        <v>0</v>
      </c>
      <c r="O77" s="6">
        <f>SQRT((kaalutegur R_13*[1]!juhe(O5,6)+jaitetegur R_13*[1]!Jaitekoormus_EN(O$5,JaideJ,hj))^2+(tuuletegur R_13*[1]!Tuulekoormus_en(O$5,Qt,ht,zo,O$4,JaideJ,jaitetegur R_13))^2)</f>
        <v>0</v>
      </c>
      <c r="P77" s="6">
        <f>SQRT((kaalutegur R_13*[1]!juhe(P5,6)+jaitetegur R_13*[1]!Jaitekoormus_EN(P$5,JaideJ,hj))^2+(tuuletegur R_13*[1]!Tuulekoormus_en(P$5,Qt,ht,zo,P$4,JaideJ,jaitetegur R_13))^2)</f>
        <v>0</v>
      </c>
      <c r="Q77" s="6">
        <f>SQRT((kaalutegur R_13*[1]!juhe(Q5,6)+jaitetegur R_13*[1]!Jaitekoormus_EN(Q$5,JaideJ,hj))^2+(tuuletegur R_13*[1]!Tuulekoormus_en(Q$5,Qt,ht,zo,Q$4,JaideJ,jaitetegur R_13))^2)</f>
        <v>0</v>
      </c>
      <c r="R77" s="6">
        <f>SQRT((kaalutegur R_13*[1]!juhe(R5,6)+jaitetegur R_13*[1]!Jaitekoormus_EN(R$5,JaideJ,hj))^2+(tuuletegur R_13*[1]!Tuulekoormus_en(R$5,Qt,ht,zo,R$4,JaideJ,jaitetegur R_13))^2)</f>
        <v>0</v>
      </c>
      <c r="S77" s="6"/>
      <c r="T77" s="6"/>
      <c r="U77" s="6"/>
      <c r="V77" s="6"/>
      <c r="W77" s="6"/>
    </row>
    <row r="78" spans="1:23" x14ac:dyDescent="0.2">
      <c r="A78" s="172"/>
      <c r="B78" s="173"/>
      <c r="C78" s="76" t="s">
        <v>104</v>
      </c>
      <c r="D78" s="3">
        <f>[1]!Olekuvorrand(D$4,D$5,D$8,5,D$11,Lähteandmed!$C60,D77)</f>
        <v>0</v>
      </c>
      <c r="E78" s="3">
        <f>[1]!Olekuvorrand(E$4,E$5,E$8,5,E$11,Lähteandmed!$C60,E77)</f>
        <v>0</v>
      </c>
      <c r="F78" s="3">
        <f>[1]!Olekuvorrand(F$4,F$5,F$8,5,F$11,Lähteandmed!$C60,F77)</f>
        <v>0</v>
      </c>
      <c r="G78" s="3">
        <f>[1]!Olekuvorrand(G$4,G$5,G$8,5,G$11,Lähteandmed!$C60,G77)</f>
        <v>0</v>
      </c>
      <c r="H78" s="3">
        <f>[1]!Olekuvorrand(H$4,H$5,H$8,5,H$11,Lähteandmed!$C60,H77)</f>
        <v>0</v>
      </c>
      <c r="I78" s="3">
        <f>[1]!Olekuvorrand(I$4,I$5,I$8,5,I$11,Lähteandmed!$C60,I77)</f>
        <v>0</v>
      </c>
      <c r="J78" s="3">
        <f>[1]!Olekuvorrand(J$4,J$5,J$8,5,J$11,Lähteandmed!$C60,J77)</f>
        <v>0</v>
      </c>
      <c r="K78" s="3">
        <f>[1]!Olekuvorrand(K$4,K$5,K$8,5,K$11,Lähteandmed!$C60,K77)</f>
        <v>0</v>
      </c>
      <c r="L78" s="3">
        <f>[1]!Olekuvorrand(L$4,L$5,L$8,5,L$11,Lähteandmed!$C60,L77)</f>
        <v>0</v>
      </c>
      <c r="M78" s="3">
        <f>[1]!Olekuvorrand(M$4,M$5,M$8,5,M$11,Lähteandmed!$C60,M77)</f>
        <v>0</v>
      </c>
      <c r="N78" s="3">
        <f>[1]!Olekuvorrand(N$4,N$5,N$8,5,N$11,Lähteandmed!$C60,N77)</f>
        <v>0</v>
      </c>
      <c r="O78" s="3">
        <f>[1]!Olekuvorrand(O$4,O$5,O$8,5,O$11,Lähteandmed!$C60,O77)</f>
        <v>0</v>
      </c>
      <c r="P78" s="3">
        <f>[1]!Olekuvorrand(P$4,P$5,P$8,5,P$11,Lähteandmed!$C60,P77)</f>
        <v>0</v>
      </c>
      <c r="Q78" s="3">
        <f>[1]!Olekuvorrand(Q$4,Q$5,Q$8,5,Q$11,Lähteandmed!$C60,Q77)</f>
        <v>0</v>
      </c>
      <c r="R78" s="3">
        <f>[1]!Olekuvorrand(R$4,R$5,R$8,5,R$11,Lähteandmed!$C60,R77)</f>
        <v>0</v>
      </c>
      <c r="S78" s="3"/>
      <c r="T78" s="3"/>
      <c r="U78" s="3"/>
      <c r="V78" s="3"/>
      <c r="W78" s="3"/>
    </row>
    <row r="79" spans="1:23" x14ac:dyDescent="0.2">
      <c r="A79" s="172"/>
      <c r="B79" s="173"/>
      <c r="C79" s="76" t="s">
        <v>105</v>
      </c>
      <c r="D79" s="3">
        <f>[1]!ripe(D78,D$11+Lähteandmed!$E60*D$13,D$4,0)</f>
        <v>0</v>
      </c>
      <c r="E79" s="3">
        <f>[1]!ripe(E78,E$11+Lähteandmed!$E60*E$13,E$4,0)</f>
        <v>0</v>
      </c>
      <c r="F79" s="3">
        <f>[1]!ripe(F78,F$11+Lähteandmed!$E60*F$13,F$4,0)</f>
        <v>0</v>
      </c>
      <c r="G79" s="3">
        <f>[1]!ripe(G78,G$11+Lähteandmed!$E60*G$13,G$4,0)</f>
        <v>0</v>
      </c>
      <c r="H79" s="3">
        <f>[1]!ripe(H78,H$11+Lähteandmed!$E60*H$13,H$4,0)</f>
        <v>0</v>
      </c>
      <c r="I79" s="3">
        <f>[1]!ripe(I78,I$11+Lähteandmed!$E60*I$13,I$4,0)</f>
        <v>0</v>
      </c>
      <c r="J79" s="3">
        <f>[1]!ripe(J78,J$11+Lähteandmed!$E60*J$13,J$4,0)</f>
        <v>0</v>
      </c>
      <c r="K79" s="3">
        <f>[1]!ripe(K78,K$11+Lähteandmed!$E60*K$13,K$4,0)</f>
        <v>0</v>
      </c>
      <c r="L79" s="3">
        <f>[1]!ripe(L78,L$11+Lähteandmed!$E60*L$13,L$4,0)</f>
        <v>0</v>
      </c>
      <c r="M79" s="3">
        <f>[1]!ripe(M78,M$11+Lähteandmed!$E60*M$13,M$4,0)</f>
        <v>0</v>
      </c>
      <c r="N79" s="3">
        <f>[1]!ripe(N78,N$11+Lähteandmed!$E60*N$13,N$4,0)</f>
        <v>0</v>
      </c>
      <c r="O79" s="3">
        <f>[1]!ripe(O78,O$11+Lähteandmed!$E60*O$13,O$4,0)</f>
        <v>0</v>
      </c>
      <c r="P79" s="3">
        <f>[1]!ripe(P78,P$11+Lähteandmed!$E60*P$13,P$4,0)</f>
        <v>0</v>
      </c>
      <c r="Q79" s="3">
        <f>[1]!ripe(Q78,Q$11+Lähteandmed!$E60*Q$13,Q$4,0)</f>
        <v>0</v>
      </c>
      <c r="R79" s="3">
        <f>[1]!ripe(R78,R$11+Lähteandmed!$E60*R$13,R$4,0)</f>
        <v>0</v>
      </c>
      <c r="S79" s="3"/>
      <c r="T79" s="3"/>
      <c r="U79" s="3"/>
      <c r="V79" s="3"/>
      <c r="W79" s="3"/>
    </row>
    <row r="80" spans="1:23" x14ac:dyDescent="0.2">
      <c r="A80" s="42"/>
      <c r="B80" s="173"/>
      <c r="C80" s="76" t="s">
        <v>49</v>
      </c>
      <c r="D80" s="50">
        <f t="shared" ref="D80:K80" si="55">D79/D$4^2*1000000</f>
        <v>0</v>
      </c>
      <c r="E80" s="50">
        <f t="shared" ref="E80:R80" si="56">E79/E$4^2*1000000</f>
        <v>0</v>
      </c>
      <c r="F80" s="50">
        <f t="shared" si="56"/>
        <v>0</v>
      </c>
      <c r="G80" s="50">
        <f t="shared" si="56"/>
        <v>0</v>
      </c>
      <c r="H80" s="50">
        <f t="shared" si="56"/>
        <v>0</v>
      </c>
      <c r="I80" s="50">
        <f t="shared" si="56"/>
        <v>0</v>
      </c>
      <c r="J80" s="50">
        <f t="shared" si="56"/>
        <v>0</v>
      </c>
      <c r="K80" s="50">
        <f t="shared" si="56"/>
        <v>0</v>
      </c>
      <c r="L80" s="50">
        <f t="shared" si="56"/>
        <v>0</v>
      </c>
      <c r="M80" s="50">
        <f t="shared" si="56"/>
        <v>0</v>
      </c>
      <c r="N80" s="50">
        <f t="shared" si="56"/>
        <v>0</v>
      </c>
      <c r="O80" s="50">
        <f t="shared" si="56"/>
        <v>0</v>
      </c>
      <c r="P80" s="50">
        <f t="shared" si="56"/>
        <v>0</v>
      </c>
      <c r="Q80" s="50">
        <f t="shared" si="56"/>
        <v>0</v>
      </c>
      <c r="R80" s="50">
        <f t="shared" si="56"/>
        <v>0</v>
      </c>
      <c r="S80" s="50"/>
      <c r="T80" s="50"/>
      <c r="U80" s="50"/>
      <c r="V80" s="50"/>
      <c r="W80" s="50"/>
    </row>
    <row r="81" spans="1:23" ht="38.25" x14ac:dyDescent="0.2">
      <c r="A81" s="159">
        <v>14</v>
      </c>
      <c r="B81" s="174">
        <f>Lähteandmed!B63</f>
        <v>0</v>
      </c>
      <c r="C81" s="77" t="s">
        <v>222</v>
      </c>
      <c r="D81" s="9">
        <f>SQRT((kaalutegur R_14*[1]!juhe(D5,6)+jaitetegur R_14*[1]!Jaitekoormus_EN(D$5,JaideJ,hj))^2+(tuuletegur R_14*[1]!Tuulekoormus_en(D$5,Qt,ht,zo,D$4,JaideJ,jaitetegur R_14))^2)</f>
        <v>0</v>
      </c>
      <c r="E81" s="9">
        <f>SQRT((kaalutegur R_14*[1]!juhe(E5,6)+jaitetegur R_14*[1]!Jaitekoormus_EN(E$5,JaideJ,hj))^2+(tuuletegur R_14*[1]!Tuulekoormus_en(E$5,Qt,ht,zo,E$4,JaideJ,jaitetegur R_14))^2)</f>
        <v>0</v>
      </c>
      <c r="F81" s="9">
        <f>SQRT((kaalutegur R_14*[1]!juhe(F5,6)+jaitetegur R_14*[1]!Jaitekoormus_EN(F$5,JaideJ,hj))^2+(tuuletegur R_14*[1]!Tuulekoormus_en(F$5,Qt,ht,zo,F$4,JaideJ,jaitetegur R_14))^2)</f>
        <v>0</v>
      </c>
      <c r="G81" s="9">
        <f>SQRT((kaalutegur R_14*[1]!juhe(G5,6)+jaitetegur R_14*[1]!Jaitekoormus_EN(G$5,JaideJ,hj))^2+(tuuletegur R_14*[1]!Tuulekoormus_en(G$5,Qt,ht,zo,G$4,JaideJ,jaitetegur R_14))^2)</f>
        <v>0</v>
      </c>
      <c r="H81" s="9">
        <f>SQRT((kaalutegur R_14*[1]!juhe(H5,6)+jaitetegur R_14*[1]!Jaitekoormus_EN(H$5,JaideJ,hj))^2+(tuuletegur R_14*[1]!Tuulekoormus_en(H$5,Qt,ht,zo,H$4,JaideJ,jaitetegur R_14))^2)</f>
        <v>0</v>
      </c>
      <c r="I81" s="9">
        <f>SQRT((kaalutegur R_14*[1]!juhe(I5,6)+jaitetegur R_14*[1]!Jaitekoormus_EN(I$5,JaideJ,hj))^2+(tuuletegur R_14*[1]!Tuulekoormus_en(I$5,Qt,ht,zo,I$4,JaideJ,jaitetegur R_14))^2)</f>
        <v>0</v>
      </c>
      <c r="J81" s="9">
        <f>SQRT((kaalutegur R_14*[1]!juhe(J5,6)+jaitetegur R_14*[1]!Jaitekoormus_EN(J$5,JaideJ,hj))^2+(tuuletegur R_14*[1]!Tuulekoormus_en(J$5,Qt,ht,zo,J$4,JaideJ,jaitetegur R_14))^2)</f>
        <v>0</v>
      </c>
      <c r="K81" s="9">
        <f>SQRT((kaalutegur R_14*[1]!juhe(K5,6)+jaitetegur R_14*[1]!Jaitekoormus_EN(K$5,JaideJ,hj))^2+(tuuletegur R_14*[1]!Tuulekoormus_en(K$5,Qt,ht,zo,K$4,JaideJ,jaitetegur R_14))^2)</f>
        <v>0</v>
      </c>
      <c r="L81" s="9">
        <f>SQRT((kaalutegur R_14*[1]!juhe(L5,6)+jaitetegur R_14*[1]!Jaitekoormus_EN(L$5,JaideJ,hj))^2+(tuuletegur R_14*[1]!Tuulekoormus_en(L$5,Qt,ht,zo,L$4,JaideJ,jaitetegur R_14))^2)</f>
        <v>0</v>
      </c>
      <c r="M81" s="9">
        <f>SQRT((kaalutegur R_14*[1]!juhe(M5,6)+jaitetegur R_14*[1]!Jaitekoormus_EN(M$5,JaideJ,hj))^2+(tuuletegur R_14*[1]!Tuulekoormus_en(M$5,Qt,ht,zo,M$4,JaideJ,jaitetegur R_14))^2)</f>
        <v>0</v>
      </c>
      <c r="N81" s="9">
        <f>SQRT((kaalutegur R_14*[1]!juhe(N5,6)+jaitetegur R_14*[1]!Jaitekoormus_EN(N$5,JaideJ,hj))^2+(tuuletegur R_14*[1]!Tuulekoormus_en(N$5,Qt,ht,zo,N$4,JaideJ,jaitetegur R_14))^2)</f>
        <v>0</v>
      </c>
      <c r="O81" s="9">
        <f>SQRT((kaalutegur R_14*[1]!juhe(O5,6)+jaitetegur R_14*[1]!Jaitekoormus_EN(O$5,JaideJ,hj))^2+(tuuletegur R_14*[1]!Tuulekoormus_en(O$5,Qt,ht,zo,O$4,JaideJ,jaitetegur R_14))^2)</f>
        <v>0</v>
      </c>
      <c r="P81" s="9">
        <f>SQRT((kaalutegur R_14*[1]!juhe(P5,6)+jaitetegur R_14*[1]!Jaitekoormus_EN(P$5,JaideJ,hj))^2+(tuuletegur R_14*[1]!Tuulekoormus_en(P$5,Qt,ht,zo,P$4,JaideJ,jaitetegur R_14))^2)</f>
        <v>0</v>
      </c>
      <c r="Q81" s="9">
        <f>SQRT((kaalutegur R_14*[1]!juhe(Q5,6)+jaitetegur R_14*[1]!Jaitekoormus_EN(Q$5,JaideJ,hj))^2+(tuuletegur R_14*[1]!Tuulekoormus_en(Q$5,Qt,ht,zo,Q$4,JaideJ,jaitetegur R_14))^2)</f>
        <v>0</v>
      </c>
      <c r="R81" s="9">
        <f>SQRT((kaalutegur R_14*[1]!juhe(R5,6)+jaitetegur R_14*[1]!Jaitekoormus_EN(R$5,JaideJ,hj))^2+(tuuletegur R_14*[1]!Tuulekoormus_en(R$5,Qt,ht,zo,R$4,JaideJ,jaitetegur R_14))^2)</f>
        <v>0</v>
      </c>
      <c r="S81" s="9"/>
      <c r="T81" s="9"/>
      <c r="U81" s="9"/>
      <c r="V81" s="9"/>
      <c r="W81" s="9"/>
    </row>
    <row r="82" spans="1:23" x14ac:dyDescent="0.2">
      <c r="A82" s="159"/>
      <c r="B82" s="174"/>
      <c r="C82" s="77" t="s">
        <v>104</v>
      </c>
      <c r="D82" s="22">
        <f>[1]!Olekuvorrand(D$4,D$5,D$8,5,D$11,Lähteandmed!$C63,D81)</f>
        <v>0</v>
      </c>
      <c r="E82" s="22">
        <f>[1]!Olekuvorrand(E$4,E$5,E$8,5,E$11,Lähteandmed!$C63,E81)</f>
        <v>0</v>
      </c>
      <c r="F82" s="22">
        <f>[1]!Olekuvorrand(F$4,F$5,F$8,5,F$11,Lähteandmed!$C63,F81)</f>
        <v>0</v>
      </c>
      <c r="G82" s="22">
        <f>[1]!Olekuvorrand(G$4,G$5,G$8,5,G$11,Lähteandmed!$C63,G81)</f>
        <v>0</v>
      </c>
      <c r="H82" s="22">
        <f>[1]!Olekuvorrand(H$4,H$5,H$8,5,H$11,Lähteandmed!$C63,H81)</f>
        <v>0</v>
      </c>
      <c r="I82" s="22">
        <f>[1]!Olekuvorrand(I$4,I$5,I$8,5,I$11,Lähteandmed!$C63,I81)</f>
        <v>0</v>
      </c>
      <c r="J82" s="22">
        <f>[1]!Olekuvorrand(J$4,J$5,J$8,5,J$11,Lähteandmed!$C63,J81)</f>
        <v>0</v>
      </c>
      <c r="K82" s="22">
        <f>[1]!Olekuvorrand(K$4,K$5,K$8,5,K$11,Lähteandmed!$C63,K81)</f>
        <v>0</v>
      </c>
      <c r="L82" s="22">
        <f>[1]!Olekuvorrand(L$4,L$5,L$8,5,L$11,Lähteandmed!$C63,L81)</f>
        <v>0</v>
      </c>
      <c r="M82" s="22">
        <f>[1]!Olekuvorrand(M$4,M$5,M$8,5,M$11,Lähteandmed!$C63,M81)</f>
        <v>0</v>
      </c>
      <c r="N82" s="22">
        <f>[1]!Olekuvorrand(N$4,N$5,N$8,5,N$11,Lähteandmed!$C63,N81)</f>
        <v>0</v>
      </c>
      <c r="O82" s="22">
        <f>[1]!Olekuvorrand(O$4,O$5,O$8,5,O$11,Lähteandmed!$C63,O81)</f>
        <v>0</v>
      </c>
      <c r="P82" s="22">
        <f>[1]!Olekuvorrand(P$4,P$5,P$8,5,P$11,Lähteandmed!$C63,P81)</f>
        <v>0</v>
      </c>
      <c r="Q82" s="22">
        <f>[1]!Olekuvorrand(Q$4,Q$5,Q$8,5,Q$11,Lähteandmed!$C63,Q81)</f>
        <v>0</v>
      </c>
      <c r="R82" s="22">
        <f>[1]!Olekuvorrand(R$4,R$5,R$8,5,R$11,Lähteandmed!$C63,R81)</f>
        <v>0</v>
      </c>
      <c r="S82" s="22"/>
      <c r="T82" s="22"/>
      <c r="U82" s="22"/>
      <c r="V82" s="22"/>
      <c r="W82" s="22"/>
    </row>
    <row r="83" spans="1:23" x14ac:dyDescent="0.2">
      <c r="A83" s="159"/>
      <c r="B83" s="174"/>
      <c r="C83" s="77" t="s">
        <v>105</v>
      </c>
      <c r="D83" s="9">
        <f>[1]!ripe(D82,D$11+Lähteandmed!$E63*D$13,D$4,0)</f>
        <v>0</v>
      </c>
      <c r="E83" s="9">
        <f>[1]!ripe(E82,E$11+Lähteandmed!$E63*E$13,E$4,0)</f>
        <v>0</v>
      </c>
      <c r="F83" s="9">
        <f>[1]!ripe(F82,F$11+Lähteandmed!$E63*F$13,F$4,0)</f>
        <v>0</v>
      </c>
      <c r="G83" s="9">
        <f>[1]!ripe(G82,G$11+Lähteandmed!$E63*G$13,G$4,0)</f>
        <v>0</v>
      </c>
      <c r="H83" s="9">
        <f>[1]!ripe(H82,H$11+Lähteandmed!$E63*H$13,H$4,0)</f>
        <v>0</v>
      </c>
      <c r="I83" s="9">
        <f>[1]!ripe(I82,I$11+Lähteandmed!$E63*I$13,I$4,0)</f>
        <v>0</v>
      </c>
      <c r="J83" s="9">
        <f>[1]!ripe(J82,J$11+Lähteandmed!$E63*J$13,J$4,0)</f>
        <v>0</v>
      </c>
      <c r="K83" s="9">
        <f>[1]!ripe(K82,K$11+Lähteandmed!$E63*K$13,K$4,0)</f>
        <v>0</v>
      </c>
      <c r="L83" s="9">
        <f>[1]!ripe(L82,L$11+Lähteandmed!$E63*L$13,L$4,0)</f>
        <v>0</v>
      </c>
      <c r="M83" s="9">
        <f>[1]!ripe(M82,M$11+Lähteandmed!$E63*M$13,M$4,0)</f>
        <v>0</v>
      </c>
      <c r="N83" s="9">
        <f>[1]!ripe(N82,N$11+Lähteandmed!$E63*N$13,N$4,0)</f>
        <v>0</v>
      </c>
      <c r="O83" s="9">
        <f>[1]!ripe(O82,O$11+Lähteandmed!$E63*O$13,O$4,0)</f>
        <v>0</v>
      </c>
      <c r="P83" s="9">
        <f>[1]!ripe(P82,P$11+Lähteandmed!$E63*P$13,P$4,0)</f>
        <v>0</v>
      </c>
      <c r="Q83" s="9">
        <f>[1]!ripe(Q82,Q$11+Lähteandmed!$E63*Q$13,Q$4,0)</f>
        <v>0</v>
      </c>
      <c r="R83" s="9">
        <f>[1]!ripe(R82,R$11+Lähteandmed!$E63*R$13,R$4,0)</f>
        <v>0</v>
      </c>
      <c r="S83" s="9"/>
      <c r="T83" s="9"/>
      <c r="U83" s="9"/>
      <c r="V83" s="9"/>
      <c r="W83" s="9"/>
    </row>
    <row r="84" spans="1:23" x14ac:dyDescent="0.2">
      <c r="A84" s="39"/>
      <c r="B84" s="174"/>
      <c r="C84" s="77" t="s">
        <v>49</v>
      </c>
      <c r="D84" s="51">
        <f t="shared" ref="D84:K84" si="57">D83/D$4^2*1000000</f>
        <v>0</v>
      </c>
      <c r="E84" s="51">
        <f t="shared" ref="E84:R84" si="58">E83/E$4^2*1000000</f>
        <v>0</v>
      </c>
      <c r="F84" s="51">
        <f t="shared" si="58"/>
        <v>0</v>
      </c>
      <c r="G84" s="51">
        <f t="shared" si="58"/>
        <v>0</v>
      </c>
      <c r="H84" s="51">
        <f t="shared" si="58"/>
        <v>0</v>
      </c>
      <c r="I84" s="51">
        <f t="shared" si="58"/>
        <v>0</v>
      </c>
      <c r="J84" s="51">
        <f t="shared" si="58"/>
        <v>0</v>
      </c>
      <c r="K84" s="51">
        <f t="shared" si="58"/>
        <v>0</v>
      </c>
      <c r="L84" s="51">
        <f t="shared" si="58"/>
        <v>0</v>
      </c>
      <c r="M84" s="51">
        <f t="shared" si="58"/>
        <v>0</v>
      </c>
      <c r="N84" s="51">
        <f t="shared" si="58"/>
        <v>0</v>
      </c>
      <c r="O84" s="51">
        <f t="shared" si="58"/>
        <v>0</v>
      </c>
      <c r="P84" s="51">
        <f t="shared" si="58"/>
        <v>0</v>
      </c>
      <c r="Q84" s="51">
        <f t="shared" si="58"/>
        <v>0</v>
      </c>
      <c r="R84" s="51">
        <f t="shared" si="58"/>
        <v>0</v>
      </c>
      <c r="S84" s="51"/>
      <c r="T84" s="51"/>
      <c r="U84" s="51"/>
      <c r="V84" s="51"/>
      <c r="W84" s="51"/>
    </row>
    <row r="85" spans="1:23" ht="38.25" x14ac:dyDescent="0.2">
      <c r="A85" s="172">
        <v>15</v>
      </c>
      <c r="B85" s="173">
        <f>Lähteandmed!B66</f>
        <v>0</v>
      </c>
      <c r="C85" s="76" t="s">
        <v>222</v>
      </c>
      <c r="D85" s="6">
        <f>SQRT((kaalutegur R_15*[1]!juhe(D5,6)+jaitetegur R_15*[1]!Jaitekoormus_EN(D$5,JaideJ,hj))^2+(tuuletegur R_15*[1]!Tuulekoormus_en(D$5,Qt,ht,zo,D$4,JaideJ,jaitetegur R_15))^2)</f>
        <v>0</v>
      </c>
      <c r="E85" s="6">
        <f>SQRT((kaalutegur R_15*[1]!juhe(E5,6)+jaitetegur R_15*[1]!Jaitekoormus_EN(E$5,JaideJ,hj))^2+(tuuletegur R_15*[1]!Tuulekoormus_en(E$5,Qt,ht,zo,E$4,JaideJ,jaitetegur R_15))^2)</f>
        <v>0</v>
      </c>
      <c r="F85" s="6">
        <f>SQRT((kaalutegur R_15*[1]!juhe(F5,6)+jaitetegur R_15*[1]!Jaitekoormus_EN(F$5,JaideJ,hj))^2+(tuuletegur R_15*[1]!Tuulekoormus_en(F$5,Qt,ht,zo,F$4,JaideJ,jaitetegur R_15))^2)</f>
        <v>0</v>
      </c>
      <c r="G85" s="6">
        <f>SQRT((kaalutegur R_15*[1]!juhe(G5,6)+jaitetegur R_15*[1]!Jaitekoormus_EN(G$5,JaideJ,hj))^2+(tuuletegur R_15*[1]!Tuulekoormus_en(G$5,Qt,ht,zo,G$4,JaideJ,jaitetegur R_15))^2)</f>
        <v>0</v>
      </c>
      <c r="H85" s="6">
        <f>SQRT((kaalutegur R_15*[1]!juhe(H5,6)+jaitetegur R_15*[1]!Jaitekoormus_EN(H$5,JaideJ,hj))^2+(tuuletegur R_15*[1]!Tuulekoormus_en(H$5,Qt,ht,zo,H$4,JaideJ,jaitetegur R_15))^2)</f>
        <v>0</v>
      </c>
      <c r="I85" s="6">
        <f>SQRT((kaalutegur R_15*[1]!juhe(I5,6)+jaitetegur R_15*[1]!Jaitekoormus_EN(I$5,JaideJ,hj))^2+(tuuletegur R_15*[1]!Tuulekoormus_en(I$5,Qt,ht,zo,I$4,JaideJ,jaitetegur R_15))^2)</f>
        <v>0</v>
      </c>
      <c r="J85" s="6">
        <f>SQRT((kaalutegur R_15*[1]!juhe(J5,6)+jaitetegur R_15*[1]!Jaitekoormus_EN(J$5,JaideJ,hj))^2+(tuuletegur R_15*[1]!Tuulekoormus_en(J$5,Qt,ht,zo,J$4,JaideJ,jaitetegur R_15))^2)</f>
        <v>0</v>
      </c>
      <c r="K85" s="6">
        <f>SQRT((kaalutegur R_15*[1]!juhe(K5,6)+jaitetegur R_15*[1]!Jaitekoormus_EN(K$5,JaideJ,hj))^2+(tuuletegur R_15*[1]!Tuulekoormus_en(K$5,Qt,ht,zo,K$4,JaideJ,jaitetegur R_15))^2)</f>
        <v>0</v>
      </c>
      <c r="L85" s="6">
        <f>SQRT((kaalutegur R_15*[1]!juhe(L5,6)+jaitetegur R_15*[1]!Jaitekoormus_EN(L$5,JaideJ,hj))^2+(tuuletegur R_15*[1]!Tuulekoormus_en(L$5,Qt,ht,zo,L$4,JaideJ,jaitetegur R_15))^2)</f>
        <v>0</v>
      </c>
      <c r="M85" s="6">
        <f>SQRT((kaalutegur R_15*[1]!juhe(M5,6)+jaitetegur R_15*[1]!Jaitekoormus_EN(M$5,JaideJ,hj))^2+(tuuletegur R_15*[1]!Tuulekoormus_en(M$5,Qt,ht,zo,M$4,JaideJ,jaitetegur R_15))^2)</f>
        <v>0</v>
      </c>
      <c r="N85" s="6">
        <f>SQRT((kaalutegur R_15*[1]!juhe(N5,6)+jaitetegur R_15*[1]!Jaitekoormus_EN(N$5,JaideJ,hj))^2+(tuuletegur R_15*[1]!Tuulekoormus_en(N$5,Qt,ht,zo,N$4,JaideJ,jaitetegur R_15))^2)</f>
        <v>0</v>
      </c>
      <c r="O85" s="6">
        <f>SQRT((kaalutegur R_15*[1]!juhe(O5,6)+jaitetegur R_15*[1]!Jaitekoormus_EN(O$5,JaideJ,hj))^2+(tuuletegur R_15*[1]!Tuulekoormus_en(O$5,Qt,ht,zo,O$4,JaideJ,jaitetegur R_15))^2)</f>
        <v>0</v>
      </c>
      <c r="P85" s="6">
        <f>SQRT((kaalutegur R_15*[1]!juhe(P5,6)+jaitetegur R_15*[1]!Jaitekoormus_EN(P$5,JaideJ,hj))^2+(tuuletegur R_15*[1]!Tuulekoormus_en(P$5,Qt,ht,zo,P$4,JaideJ,jaitetegur R_15))^2)</f>
        <v>0</v>
      </c>
      <c r="Q85" s="6">
        <f>SQRT((kaalutegur R_15*[1]!juhe(Q5,6)+jaitetegur R_15*[1]!Jaitekoormus_EN(Q$5,JaideJ,hj))^2+(tuuletegur R_15*[1]!Tuulekoormus_en(Q$5,Qt,ht,zo,Q$4,JaideJ,jaitetegur R_15))^2)</f>
        <v>0</v>
      </c>
      <c r="R85" s="6">
        <f>SQRT((kaalutegur R_15*[1]!juhe(R5,6)+jaitetegur R_15*[1]!Jaitekoormus_EN(R$5,JaideJ,hj))^2+(tuuletegur R_15*[1]!Tuulekoormus_en(R$5,Qt,ht,zo,R$4,JaideJ,jaitetegur R_15))^2)</f>
        <v>0</v>
      </c>
      <c r="S85" s="6"/>
      <c r="T85" s="6"/>
      <c r="U85" s="6"/>
      <c r="V85" s="6"/>
      <c r="W85" s="6"/>
    </row>
    <row r="86" spans="1:23" x14ac:dyDescent="0.2">
      <c r="A86" s="172"/>
      <c r="B86" s="173"/>
      <c r="C86" s="76" t="s">
        <v>104</v>
      </c>
      <c r="D86" s="3">
        <f>[1]!Olekuvorrand(D$4,D$5,D$8,5,D$11,Lähteandmed!$C66,D85)</f>
        <v>0</v>
      </c>
      <c r="E86" s="3">
        <f>[1]!Olekuvorrand(E$4,E$5,E$8,5,E$11,Lähteandmed!$C66,E85)</f>
        <v>0</v>
      </c>
      <c r="F86" s="3">
        <f>[1]!Olekuvorrand(F$4,F$5,F$8,5,F$11,Lähteandmed!$C66,F85)</f>
        <v>0</v>
      </c>
      <c r="G86" s="3">
        <f>[1]!Olekuvorrand(G$4,G$5,G$8,5,G$11,Lähteandmed!$C66,G85)</f>
        <v>0</v>
      </c>
      <c r="H86" s="3">
        <f>[1]!Olekuvorrand(H$4,H$5,H$8,5,H$11,Lähteandmed!$C66,H85)</f>
        <v>0</v>
      </c>
      <c r="I86" s="3">
        <f>[1]!Olekuvorrand(I$4,I$5,I$8,5,I$11,Lähteandmed!$C66,I85)</f>
        <v>0</v>
      </c>
      <c r="J86" s="3">
        <f>[1]!Olekuvorrand(J$4,J$5,J$8,5,J$11,Lähteandmed!$C66,J85)</f>
        <v>0</v>
      </c>
      <c r="K86" s="3">
        <f>[1]!Olekuvorrand(K$4,K$5,K$8,5,K$11,Lähteandmed!$C66,K85)</f>
        <v>0</v>
      </c>
      <c r="L86" s="3">
        <f>[1]!Olekuvorrand(L$4,L$5,L$8,5,L$11,Lähteandmed!$C66,L85)</f>
        <v>0</v>
      </c>
      <c r="M86" s="3">
        <f>[1]!Olekuvorrand(M$4,M$5,M$8,5,M$11,Lähteandmed!$C66,M85)</f>
        <v>0</v>
      </c>
      <c r="N86" s="3">
        <f>[1]!Olekuvorrand(N$4,N$5,N$8,5,N$11,Lähteandmed!$C66,N85)</f>
        <v>0</v>
      </c>
      <c r="O86" s="3">
        <f>[1]!Olekuvorrand(O$4,O$5,O$8,5,O$11,Lähteandmed!$C66,O85)</f>
        <v>0</v>
      </c>
      <c r="P86" s="3">
        <f>[1]!Olekuvorrand(P$4,P$5,P$8,5,P$11,Lähteandmed!$C66,P85)</f>
        <v>0</v>
      </c>
      <c r="Q86" s="3">
        <f>[1]!Olekuvorrand(Q$4,Q$5,Q$8,5,Q$11,Lähteandmed!$C66,Q85)</f>
        <v>0</v>
      </c>
      <c r="R86" s="3">
        <f>[1]!Olekuvorrand(R$4,R$5,R$8,5,R$11,Lähteandmed!$C66,R85)</f>
        <v>0</v>
      </c>
      <c r="S86" s="3"/>
      <c r="T86" s="3"/>
      <c r="U86" s="3"/>
      <c r="V86" s="3"/>
      <c r="W86" s="3"/>
    </row>
    <row r="87" spans="1:23" x14ac:dyDescent="0.2">
      <c r="A87" s="172"/>
      <c r="B87" s="173"/>
      <c r="C87" s="76" t="s">
        <v>105</v>
      </c>
      <c r="D87" s="3">
        <f>[1]!ripe(D86,D$11+Lähteandmed!$E66*D$13,D$4,0)</f>
        <v>0</v>
      </c>
      <c r="E87" s="3">
        <f>[1]!ripe(E86,E$11+Lähteandmed!$E66*E$13,E$4,0)</f>
        <v>0</v>
      </c>
      <c r="F87" s="3">
        <f>[1]!ripe(F86,F$11+Lähteandmed!$E66*F$13,F$4,0)</f>
        <v>0</v>
      </c>
      <c r="G87" s="3">
        <f>[1]!ripe(G86,G$11+Lähteandmed!$E66*G$13,G$4,0)</f>
        <v>0</v>
      </c>
      <c r="H87" s="3">
        <f>[1]!ripe(H86,H$11+Lähteandmed!$E66*H$13,H$4,0)</f>
        <v>0</v>
      </c>
      <c r="I87" s="3">
        <f>[1]!ripe(I86,I$11+Lähteandmed!$E66*I$13,I$4,0)</f>
        <v>0</v>
      </c>
      <c r="J87" s="3">
        <f>[1]!ripe(J86,J$11+Lähteandmed!$E66*J$13,J$4,0)</f>
        <v>0</v>
      </c>
      <c r="K87" s="3">
        <f>[1]!ripe(K86,K$11+Lähteandmed!$E66*K$13,K$4,0)</f>
        <v>0</v>
      </c>
      <c r="L87" s="3">
        <f>[1]!ripe(L86,L$11+Lähteandmed!$E66*L$13,L$4,0)</f>
        <v>0</v>
      </c>
      <c r="M87" s="3">
        <f>[1]!ripe(M86,M$11+Lähteandmed!$E66*M$13,M$4,0)</f>
        <v>0</v>
      </c>
      <c r="N87" s="3">
        <f>[1]!ripe(N86,N$11+Lähteandmed!$E66*N$13,N$4,0)</f>
        <v>0</v>
      </c>
      <c r="O87" s="3">
        <f>[1]!ripe(O86,O$11+Lähteandmed!$E66*O$13,O$4,0)</f>
        <v>0</v>
      </c>
      <c r="P87" s="3">
        <f>[1]!ripe(P86,P$11+Lähteandmed!$E66*P$13,P$4,0)</f>
        <v>0</v>
      </c>
      <c r="Q87" s="3">
        <f>[1]!ripe(Q86,Q$11+Lähteandmed!$E66*Q$13,Q$4,0)</f>
        <v>0</v>
      </c>
      <c r="R87" s="3">
        <f>[1]!ripe(R86,R$11+Lähteandmed!$E66*R$13,R$4,0)</f>
        <v>0</v>
      </c>
      <c r="S87" s="3"/>
      <c r="T87" s="3"/>
      <c r="U87" s="3"/>
      <c r="V87" s="3"/>
      <c r="W87" s="3"/>
    </row>
    <row r="88" spans="1:23" x14ac:dyDescent="0.2">
      <c r="A88" s="42"/>
      <c r="B88" s="173"/>
      <c r="C88" s="76" t="s">
        <v>49</v>
      </c>
      <c r="D88" s="50">
        <f t="shared" ref="D88:K88" si="59">D87/D$4^2*1000000</f>
        <v>0</v>
      </c>
      <c r="E88" s="50">
        <f t="shared" ref="E88:R88" si="60">E87/E$4^2*1000000</f>
        <v>0</v>
      </c>
      <c r="F88" s="50">
        <f t="shared" si="60"/>
        <v>0</v>
      </c>
      <c r="G88" s="50">
        <f t="shared" si="60"/>
        <v>0</v>
      </c>
      <c r="H88" s="50">
        <f t="shared" si="60"/>
        <v>0</v>
      </c>
      <c r="I88" s="50">
        <f t="shared" si="60"/>
        <v>0</v>
      </c>
      <c r="J88" s="50">
        <f t="shared" si="60"/>
        <v>0</v>
      </c>
      <c r="K88" s="50">
        <f t="shared" si="60"/>
        <v>0</v>
      </c>
      <c r="L88" s="50">
        <f t="shared" si="60"/>
        <v>0</v>
      </c>
      <c r="M88" s="50">
        <f t="shared" si="60"/>
        <v>0</v>
      </c>
      <c r="N88" s="50">
        <f t="shared" si="60"/>
        <v>0</v>
      </c>
      <c r="O88" s="50">
        <f t="shared" si="60"/>
        <v>0</v>
      </c>
      <c r="P88" s="50">
        <f t="shared" si="60"/>
        <v>0</v>
      </c>
      <c r="Q88" s="50">
        <f t="shared" si="60"/>
        <v>0</v>
      </c>
      <c r="R88" s="50">
        <f t="shared" si="60"/>
        <v>0</v>
      </c>
      <c r="S88" s="50"/>
      <c r="T88" s="50"/>
      <c r="U88" s="50"/>
      <c r="V88" s="50"/>
      <c r="W88" s="50"/>
    </row>
    <row r="89" spans="1:23" ht="38.25" x14ac:dyDescent="0.2">
      <c r="A89" s="159">
        <v>16</v>
      </c>
      <c r="B89" s="174">
        <f>Lähteandmed!B69</f>
        <v>0</v>
      </c>
      <c r="C89" s="77" t="s">
        <v>222</v>
      </c>
      <c r="D89" s="9">
        <f>SQRT((kaalutegur R_16*[1]!juhe(D5,6)+jaitetegur R_16*[1]!Jaitekoormus_EN(D$5,JaideJ,hj))^2+(tuuletegur R_16*[1]!Tuulekoormus_en(D$5,Qt,ht,zo,D$4,JaideJ,jaitetegur R_16))^2)</f>
        <v>0</v>
      </c>
      <c r="E89" s="9">
        <f>SQRT((kaalutegur R_16*[1]!juhe(E5,6)+jaitetegur R_16*[1]!Jaitekoormus_EN(E$5,JaideJ,hj))^2+(tuuletegur R_16*[1]!Tuulekoormus_en(E$5,Qt,ht,zo,E$4,JaideJ,jaitetegur R_16))^2)</f>
        <v>0</v>
      </c>
      <c r="F89" s="9">
        <f>SQRT((kaalutegur R_16*[1]!juhe(F5,6)+jaitetegur R_16*[1]!Jaitekoormus_EN(F$5,JaideJ,hj))^2+(tuuletegur R_16*[1]!Tuulekoormus_en(F$5,Qt,ht,zo,F$4,JaideJ,jaitetegur R_16))^2)</f>
        <v>0</v>
      </c>
      <c r="G89" s="9">
        <f>SQRT((kaalutegur R_16*[1]!juhe(G5,6)+jaitetegur R_16*[1]!Jaitekoormus_EN(G$5,JaideJ,hj))^2+(tuuletegur R_16*[1]!Tuulekoormus_en(G$5,Qt,ht,zo,G$4,JaideJ,jaitetegur R_16))^2)</f>
        <v>0</v>
      </c>
      <c r="H89" s="9">
        <f>SQRT((kaalutegur R_16*[1]!juhe(H5,6)+jaitetegur R_16*[1]!Jaitekoormus_EN(H$5,JaideJ,hj))^2+(tuuletegur R_16*[1]!Tuulekoormus_en(H$5,Qt,ht,zo,H$4,JaideJ,jaitetegur R_16))^2)</f>
        <v>0</v>
      </c>
      <c r="I89" s="9">
        <f>SQRT((kaalutegur R_16*[1]!juhe(I5,6)+jaitetegur R_16*[1]!Jaitekoormus_EN(I$5,JaideJ,hj))^2+(tuuletegur R_16*[1]!Tuulekoormus_en(I$5,Qt,ht,zo,I$4,JaideJ,jaitetegur R_16))^2)</f>
        <v>0</v>
      </c>
      <c r="J89" s="9">
        <f>SQRT((kaalutegur R_16*[1]!juhe(J5,6)+jaitetegur R_16*[1]!Jaitekoormus_EN(J$5,JaideJ,hj))^2+(tuuletegur R_16*[1]!Tuulekoormus_en(J$5,Qt,ht,zo,J$4,JaideJ,jaitetegur R_16))^2)</f>
        <v>0</v>
      </c>
      <c r="K89" s="9">
        <f>SQRT((kaalutegur R_16*[1]!juhe(K5,6)+jaitetegur R_16*[1]!Jaitekoormus_EN(K$5,JaideJ,hj))^2+(tuuletegur R_16*[1]!Tuulekoormus_en(K$5,Qt,ht,zo,K$4,JaideJ,jaitetegur R_16))^2)</f>
        <v>0</v>
      </c>
      <c r="L89" s="9">
        <f>SQRT((kaalutegur R_16*[1]!juhe(L5,6)+jaitetegur R_16*[1]!Jaitekoormus_EN(L$5,JaideJ,hj))^2+(tuuletegur R_16*[1]!Tuulekoormus_en(L$5,Qt,ht,zo,L$4,JaideJ,jaitetegur R_16))^2)</f>
        <v>0</v>
      </c>
      <c r="M89" s="9">
        <f>SQRT((kaalutegur R_16*[1]!juhe(M5,6)+jaitetegur R_16*[1]!Jaitekoormus_EN(M$5,JaideJ,hj))^2+(tuuletegur R_16*[1]!Tuulekoormus_en(M$5,Qt,ht,zo,M$4,JaideJ,jaitetegur R_16))^2)</f>
        <v>0</v>
      </c>
      <c r="N89" s="9">
        <f>SQRT((kaalutegur R_16*[1]!juhe(N5,6)+jaitetegur R_16*[1]!Jaitekoormus_EN(N$5,JaideJ,hj))^2+(tuuletegur R_16*[1]!Tuulekoormus_en(N$5,Qt,ht,zo,N$4,JaideJ,jaitetegur R_16))^2)</f>
        <v>0</v>
      </c>
      <c r="O89" s="9">
        <f>SQRT((kaalutegur R_16*[1]!juhe(O5,6)+jaitetegur R_16*[1]!Jaitekoormus_EN(O$5,JaideJ,hj))^2+(tuuletegur R_16*[1]!Tuulekoormus_en(O$5,Qt,ht,zo,O$4,JaideJ,jaitetegur R_16))^2)</f>
        <v>0</v>
      </c>
      <c r="P89" s="9">
        <f>SQRT((kaalutegur R_16*[1]!juhe(P5,6)+jaitetegur R_16*[1]!Jaitekoormus_EN(P$5,JaideJ,hj))^2+(tuuletegur R_16*[1]!Tuulekoormus_en(P$5,Qt,ht,zo,P$4,JaideJ,jaitetegur R_16))^2)</f>
        <v>0</v>
      </c>
      <c r="Q89" s="9">
        <f>SQRT((kaalutegur R_16*[1]!juhe(Q5,6)+jaitetegur R_16*[1]!Jaitekoormus_EN(Q$5,JaideJ,hj))^2+(tuuletegur R_16*[1]!Tuulekoormus_en(Q$5,Qt,ht,zo,Q$4,JaideJ,jaitetegur R_16))^2)</f>
        <v>0</v>
      </c>
      <c r="R89" s="9">
        <f>SQRT((kaalutegur R_16*[1]!juhe(R5,6)+jaitetegur R_16*[1]!Jaitekoormus_EN(R$5,JaideJ,hj))^2+(tuuletegur R_16*[1]!Tuulekoormus_en(R$5,Qt,ht,zo,R$4,JaideJ,jaitetegur R_16))^2)</f>
        <v>0</v>
      </c>
      <c r="S89" s="9"/>
      <c r="T89" s="9"/>
      <c r="U89" s="9"/>
      <c r="V89" s="9"/>
      <c r="W89" s="9"/>
    </row>
    <row r="90" spans="1:23" x14ac:dyDescent="0.2">
      <c r="A90" s="159"/>
      <c r="B90" s="174"/>
      <c r="C90" s="77" t="s">
        <v>104</v>
      </c>
      <c r="D90" s="22">
        <f>[1]!Olekuvorrand(D$4,D$5,D$8,5,D$11,Lähteandmed!$C69,D89)</f>
        <v>0</v>
      </c>
      <c r="E90" s="22">
        <f>[1]!Olekuvorrand(E$4,E$5,E$8,5,E$11,Lähteandmed!$C69,E89)</f>
        <v>0</v>
      </c>
      <c r="F90" s="22">
        <f>[1]!Olekuvorrand(F$4,F$5,F$8,5,F$11,Lähteandmed!$C69,F89)</f>
        <v>0</v>
      </c>
      <c r="G90" s="22">
        <f>[1]!Olekuvorrand(G$4,G$5,G$8,5,G$11,Lähteandmed!$C69,G89)</f>
        <v>0</v>
      </c>
      <c r="H90" s="22">
        <f>[1]!Olekuvorrand(H$4,H$5,H$8,5,H$11,Lähteandmed!$C69,H89)</f>
        <v>0</v>
      </c>
      <c r="I90" s="22">
        <f>[1]!Olekuvorrand(I$4,I$5,I$8,5,I$11,Lähteandmed!$C69,I89)</f>
        <v>0</v>
      </c>
      <c r="J90" s="22">
        <f>[1]!Olekuvorrand(J$4,J$5,J$8,5,J$11,Lähteandmed!$C69,J89)</f>
        <v>0</v>
      </c>
      <c r="K90" s="22">
        <f>[1]!Olekuvorrand(K$4,K$5,K$8,5,K$11,Lähteandmed!$C69,K89)</f>
        <v>0</v>
      </c>
      <c r="L90" s="22">
        <f>[1]!Olekuvorrand(L$4,L$5,L$8,5,L$11,Lähteandmed!$C69,L89)</f>
        <v>0</v>
      </c>
      <c r="M90" s="22">
        <f>[1]!Olekuvorrand(M$4,M$5,M$8,5,M$11,Lähteandmed!$C69,M89)</f>
        <v>0</v>
      </c>
      <c r="N90" s="22">
        <f>[1]!Olekuvorrand(N$4,N$5,N$8,5,N$11,Lähteandmed!$C69,N89)</f>
        <v>0</v>
      </c>
      <c r="O90" s="22">
        <f>[1]!Olekuvorrand(O$4,O$5,O$8,5,O$11,Lähteandmed!$C69,O89)</f>
        <v>0</v>
      </c>
      <c r="P90" s="22">
        <f>[1]!Olekuvorrand(P$4,P$5,P$8,5,P$11,Lähteandmed!$C69,P89)</f>
        <v>0</v>
      </c>
      <c r="Q90" s="22">
        <f>[1]!Olekuvorrand(Q$4,Q$5,Q$8,5,Q$11,Lähteandmed!$C69,Q89)</f>
        <v>0</v>
      </c>
      <c r="R90" s="22">
        <f>[1]!Olekuvorrand(R$4,R$5,R$8,5,R$11,Lähteandmed!$C69,R89)</f>
        <v>0</v>
      </c>
      <c r="S90" s="22"/>
      <c r="T90" s="22"/>
      <c r="U90" s="22"/>
      <c r="V90" s="22"/>
      <c r="W90" s="22"/>
    </row>
    <row r="91" spans="1:23" x14ac:dyDescent="0.2">
      <c r="A91" s="159"/>
      <c r="B91" s="174"/>
      <c r="C91" s="77" t="s">
        <v>105</v>
      </c>
      <c r="D91" s="9">
        <f>[1]!ripe(D90,D$11+Lähteandmed!$E69*D$13,D$4,0)</f>
        <v>0</v>
      </c>
      <c r="E91" s="9">
        <f>[1]!ripe(E90,E$11+Lähteandmed!$E69*E$13,E$4,0)</f>
        <v>0</v>
      </c>
      <c r="F91" s="9">
        <f>[1]!ripe(F90,F$11+Lähteandmed!$E69*F$13,F$4,0)</f>
        <v>0</v>
      </c>
      <c r="G91" s="9">
        <f>[1]!ripe(G90,G$11+Lähteandmed!$E69*G$13,G$4,0)</f>
        <v>0</v>
      </c>
      <c r="H91" s="9">
        <f>[1]!ripe(H90,H$11+Lähteandmed!$E69*H$13,H$4,0)</f>
        <v>0</v>
      </c>
      <c r="I91" s="9">
        <f>[1]!ripe(I90,I$11+Lähteandmed!$E69*I$13,I$4,0)</f>
        <v>0</v>
      </c>
      <c r="J91" s="9">
        <f>[1]!ripe(J90,J$11+Lähteandmed!$E69*J$13,J$4,0)</f>
        <v>0</v>
      </c>
      <c r="K91" s="9">
        <f>[1]!ripe(K90,K$11+Lähteandmed!$E69*K$13,K$4,0)</f>
        <v>0</v>
      </c>
      <c r="L91" s="9">
        <f>[1]!ripe(L90,L$11+Lähteandmed!$E69*L$13,L$4,0)</f>
        <v>0</v>
      </c>
      <c r="M91" s="9">
        <f>[1]!ripe(M90,M$11+Lähteandmed!$E69*M$13,M$4,0)</f>
        <v>0</v>
      </c>
      <c r="N91" s="9">
        <f>[1]!ripe(N90,N$11+Lähteandmed!$E69*N$13,N$4,0)</f>
        <v>0</v>
      </c>
      <c r="O91" s="9">
        <f>[1]!ripe(O90,O$11+Lähteandmed!$E69*O$13,O$4,0)</f>
        <v>0</v>
      </c>
      <c r="P91" s="9">
        <f>[1]!ripe(P90,P$11+Lähteandmed!$E69*P$13,P$4,0)</f>
        <v>0</v>
      </c>
      <c r="Q91" s="9">
        <f>[1]!ripe(Q90,Q$11+Lähteandmed!$E69*Q$13,Q$4,0)</f>
        <v>0</v>
      </c>
      <c r="R91" s="9">
        <f>[1]!ripe(R90,R$11+Lähteandmed!$E69*R$13,R$4,0)</f>
        <v>0</v>
      </c>
      <c r="S91" s="9"/>
      <c r="T91" s="9"/>
      <c r="U91" s="9"/>
      <c r="V91" s="9"/>
      <c r="W91" s="9"/>
    </row>
    <row r="92" spans="1:23" x14ac:dyDescent="0.2">
      <c r="A92" s="39"/>
      <c r="B92" s="174"/>
      <c r="C92" s="77" t="s">
        <v>49</v>
      </c>
      <c r="D92" s="51">
        <f t="shared" ref="D92:K92" si="61">D91/D$4^2*1000000</f>
        <v>0</v>
      </c>
      <c r="E92" s="51">
        <f t="shared" ref="E92:R92" si="62">E91/E$4^2*1000000</f>
        <v>0</v>
      </c>
      <c r="F92" s="51">
        <f t="shared" si="62"/>
        <v>0</v>
      </c>
      <c r="G92" s="51">
        <f t="shared" si="62"/>
        <v>0</v>
      </c>
      <c r="H92" s="51">
        <f t="shared" si="62"/>
        <v>0</v>
      </c>
      <c r="I92" s="51">
        <f t="shared" si="62"/>
        <v>0</v>
      </c>
      <c r="J92" s="51">
        <f t="shared" si="62"/>
        <v>0</v>
      </c>
      <c r="K92" s="51">
        <f t="shared" si="62"/>
        <v>0</v>
      </c>
      <c r="L92" s="51">
        <f t="shared" si="62"/>
        <v>0</v>
      </c>
      <c r="M92" s="51">
        <f t="shared" si="62"/>
        <v>0</v>
      </c>
      <c r="N92" s="51">
        <f t="shared" si="62"/>
        <v>0</v>
      </c>
      <c r="O92" s="51">
        <f t="shared" si="62"/>
        <v>0</v>
      </c>
      <c r="P92" s="51">
        <f t="shared" si="62"/>
        <v>0</v>
      </c>
      <c r="Q92" s="51">
        <f t="shared" si="62"/>
        <v>0</v>
      </c>
      <c r="R92" s="51">
        <f t="shared" si="62"/>
        <v>0</v>
      </c>
      <c r="S92" s="51"/>
      <c r="T92" s="51"/>
      <c r="U92" s="51"/>
      <c r="V92" s="51"/>
      <c r="W92" s="51"/>
    </row>
    <row r="93" spans="1:23" ht="38.25" x14ac:dyDescent="0.2">
      <c r="A93" s="172">
        <v>17</v>
      </c>
      <c r="B93" s="173">
        <f>Lähteandmed!B72</f>
        <v>0</v>
      </c>
      <c r="C93" s="76" t="s">
        <v>222</v>
      </c>
      <c r="D93" s="6">
        <f>SQRT((kaalutegur R_17*[1]!juhe(D5,6)+jaitetegur R_17*[1]!Jaitekoormus_EN(D$5,JaideJ,hj))^2+(tuuletegur R_17*[1]!Tuulekoormus_en(D$5,Qt,ht,zo,D$4,JaideJ,jaitetegur R_17))^2)</f>
        <v>0</v>
      </c>
      <c r="E93" s="6">
        <f>SQRT((kaalutegur R_17*[1]!juhe(E5,6)+jaitetegur R_17*[1]!Jaitekoormus_EN(E$5,JaideJ,hj))^2+(tuuletegur R_17*[1]!Tuulekoormus_en(E$5,Qt,ht,zo,E$4,JaideJ,jaitetegur R_17))^2)</f>
        <v>0</v>
      </c>
      <c r="F93" s="6">
        <f>SQRT((kaalutegur R_17*[1]!juhe(F5,6)+jaitetegur R_17*[1]!Jaitekoormus_EN(F$5,JaideJ,hj))^2+(tuuletegur R_17*[1]!Tuulekoormus_en(F$5,Qt,ht,zo,F$4,JaideJ,jaitetegur R_17))^2)</f>
        <v>0</v>
      </c>
      <c r="G93" s="6">
        <f>SQRT((kaalutegur R_17*[1]!juhe(G5,6)+jaitetegur R_17*[1]!Jaitekoormus_EN(G$5,JaideJ,hj))^2+(tuuletegur R_17*[1]!Tuulekoormus_en(G$5,Qt,ht,zo,G$4,JaideJ,jaitetegur R_17))^2)</f>
        <v>0</v>
      </c>
      <c r="H93" s="6">
        <f>SQRT((kaalutegur R_17*[1]!juhe(H5,6)+jaitetegur R_17*[1]!Jaitekoormus_EN(H$5,JaideJ,hj))^2+(tuuletegur R_17*[1]!Tuulekoormus_en(H$5,Qt,ht,zo,H$4,JaideJ,jaitetegur R_17))^2)</f>
        <v>0</v>
      </c>
      <c r="I93" s="6">
        <f>SQRT((kaalutegur R_17*[1]!juhe(I5,6)+jaitetegur R_17*[1]!Jaitekoormus_EN(I$5,JaideJ,hj))^2+(tuuletegur R_17*[1]!Tuulekoormus_en(I$5,Qt,ht,zo,I$4,JaideJ,jaitetegur R_17))^2)</f>
        <v>0</v>
      </c>
      <c r="J93" s="6">
        <f>SQRT((kaalutegur R_17*[1]!juhe(J5,6)+jaitetegur R_17*[1]!Jaitekoormus_EN(J$5,JaideJ,hj))^2+(tuuletegur R_17*[1]!Tuulekoormus_en(J$5,Qt,ht,zo,J$4,JaideJ,jaitetegur R_17))^2)</f>
        <v>0</v>
      </c>
      <c r="K93" s="6">
        <f>SQRT((kaalutegur R_17*[1]!juhe(K5,6)+jaitetegur R_17*[1]!Jaitekoormus_EN(K$5,JaideJ,hj))^2+(tuuletegur R_17*[1]!Tuulekoormus_en(K$5,Qt,ht,zo,K$4,JaideJ,jaitetegur R_17))^2)</f>
        <v>0</v>
      </c>
      <c r="L93" s="6">
        <f>SQRT((kaalutegur R_17*[1]!juhe(L5,6)+jaitetegur R_17*[1]!Jaitekoormus_EN(L$5,JaideJ,hj))^2+(tuuletegur R_17*[1]!Tuulekoormus_en(L$5,Qt,ht,zo,L$4,JaideJ,jaitetegur R_17))^2)</f>
        <v>0</v>
      </c>
      <c r="M93" s="6">
        <f>SQRT((kaalutegur R_17*[1]!juhe(M5,6)+jaitetegur R_17*[1]!Jaitekoormus_EN(M$5,JaideJ,hj))^2+(tuuletegur R_17*[1]!Tuulekoormus_en(M$5,Qt,ht,zo,M$4,JaideJ,jaitetegur R_17))^2)</f>
        <v>0</v>
      </c>
      <c r="N93" s="6">
        <f>SQRT((kaalutegur R_17*[1]!juhe(N5,6)+jaitetegur R_17*[1]!Jaitekoormus_EN(N$5,JaideJ,hj))^2+(tuuletegur R_17*[1]!Tuulekoormus_en(N$5,Qt,ht,zo,N$4,JaideJ,jaitetegur R_17))^2)</f>
        <v>0</v>
      </c>
      <c r="O93" s="6">
        <f>SQRT((kaalutegur R_17*[1]!juhe(O5,6)+jaitetegur R_17*[1]!Jaitekoormus_EN(O$5,JaideJ,hj))^2+(tuuletegur R_17*[1]!Tuulekoormus_en(O$5,Qt,ht,zo,O$4,JaideJ,jaitetegur R_17))^2)</f>
        <v>0</v>
      </c>
      <c r="P93" s="6">
        <f>SQRT((kaalutegur R_17*[1]!juhe(P5,6)+jaitetegur R_17*[1]!Jaitekoormus_EN(P$5,JaideJ,hj))^2+(tuuletegur R_17*[1]!Tuulekoormus_en(P$5,Qt,ht,zo,P$4,JaideJ,jaitetegur R_17))^2)</f>
        <v>0</v>
      </c>
      <c r="Q93" s="6">
        <f>SQRT((kaalutegur R_17*[1]!juhe(Q5,6)+jaitetegur R_17*[1]!Jaitekoormus_EN(Q$5,JaideJ,hj))^2+(tuuletegur R_17*[1]!Tuulekoormus_en(Q$5,Qt,ht,zo,Q$4,JaideJ,jaitetegur R_17))^2)</f>
        <v>0</v>
      </c>
      <c r="R93" s="6">
        <f>SQRT((kaalutegur R_17*[1]!juhe(R5,6)+jaitetegur R_17*[1]!Jaitekoormus_EN(R$5,JaideJ,hj))^2+(tuuletegur R_17*[1]!Tuulekoormus_en(R$5,Qt,ht,zo,R$4,JaideJ,jaitetegur R_17))^2)</f>
        <v>0</v>
      </c>
      <c r="S93" s="6"/>
      <c r="T93" s="6"/>
      <c r="U93" s="6"/>
      <c r="V93" s="6"/>
      <c r="W93" s="6"/>
    </row>
    <row r="94" spans="1:23" x14ac:dyDescent="0.2">
      <c r="A94" s="172"/>
      <c r="B94" s="173"/>
      <c r="C94" s="76" t="s">
        <v>104</v>
      </c>
      <c r="D94" s="3">
        <f>[1]!Olekuvorrand(D$4,D$5,D$8,5,D$11,Lähteandmed!$C72,D93)</f>
        <v>0</v>
      </c>
      <c r="E94" s="3">
        <f>[1]!Olekuvorrand(E$4,E$5,E$8,5,E$11,Lähteandmed!$C72,E93)</f>
        <v>0</v>
      </c>
      <c r="F94" s="3">
        <f>[1]!Olekuvorrand(F$4,F$5,F$8,5,F$11,Lähteandmed!$C72,F93)</f>
        <v>0</v>
      </c>
      <c r="G94" s="3">
        <f>[1]!Olekuvorrand(G$4,G$5,G$8,5,G$11,Lähteandmed!$C72,G93)</f>
        <v>0</v>
      </c>
      <c r="H94" s="3">
        <f>[1]!Olekuvorrand(H$4,H$5,H$8,5,H$11,Lähteandmed!$C72,H93)</f>
        <v>0</v>
      </c>
      <c r="I94" s="3">
        <f>[1]!Olekuvorrand(I$4,I$5,I$8,5,I$11,Lähteandmed!$C72,I93)</f>
        <v>0</v>
      </c>
      <c r="J94" s="3">
        <f>[1]!Olekuvorrand(J$4,J$5,J$8,5,J$11,Lähteandmed!$C72,J93)</f>
        <v>0</v>
      </c>
      <c r="K94" s="3">
        <f>[1]!Olekuvorrand(K$4,K$5,K$8,5,K$11,Lähteandmed!$C72,K93)</f>
        <v>0</v>
      </c>
      <c r="L94" s="3">
        <f>[1]!Olekuvorrand(L$4,L$5,L$8,5,L$11,Lähteandmed!$C72,L93)</f>
        <v>0</v>
      </c>
      <c r="M94" s="3">
        <f>[1]!Olekuvorrand(M$4,M$5,M$8,5,M$11,Lähteandmed!$C72,M93)</f>
        <v>0</v>
      </c>
      <c r="N94" s="3">
        <f>[1]!Olekuvorrand(N$4,N$5,N$8,5,N$11,Lähteandmed!$C72,N93)</f>
        <v>0</v>
      </c>
      <c r="O94" s="3">
        <f>[1]!Olekuvorrand(O$4,O$5,O$8,5,O$11,Lähteandmed!$C72,O93)</f>
        <v>0</v>
      </c>
      <c r="P94" s="3">
        <f>[1]!Olekuvorrand(P$4,P$5,P$8,5,P$11,Lähteandmed!$C72,P93)</f>
        <v>0</v>
      </c>
      <c r="Q94" s="3">
        <f>[1]!Olekuvorrand(Q$4,Q$5,Q$8,5,Q$11,Lähteandmed!$C72,Q93)</f>
        <v>0</v>
      </c>
      <c r="R94" s="3">
        <f>[1]!Olekuvorrand(R$4,R$5,R$8,5,R$11,Lähteandmed!$C72,R93)</f>
        <v>0</v>
      </c>
      <c r="S94" s="3"/>
      <c r="T94" s="3"/>
      <c r="U94" s="3"/>
      <c r="V94" s="3"/>
      <c r="W94" s="3"/>
    </row>
    <row r="95" spans="1:23" x14ac:dyDescent="0.2">
      <c r="A95" s="172"/>
      <c r="B95" s="173"/>
      <c r="C95" s="76" t="s">
        <v>105</v>
      </c>
      <c r="D95" s="3">
        <f>[1]!ripe(D94,D$11+Lähteandmed!$E72*D$13,D$4,0)</f>
        <v>0</v>
      </c>
      <c r="E95" s="3">
        <f>[1]!ripe(E94,E$11+Lähteandmed!$E72*E$13,E$4,0)</f>
        <v>0</v>
      </c>
      <c r="F95" s="3">
        <f>[1]!ripe(F94,F$11+Lähteandmed!$E72*F$13,F$4,0)</f>
        <v>0</v>
      </c>
      <c r="G95" s="3">
        <f>[1]!ripe(G94,G$11+Lähteandmed!$E72*G$13,G$4,0)</f>
        <v>0</v>
      </c>
      <c r="H95" s="3">
        <f>[1]!ripe(H94,H$11+Lähteandmed!$E72*H$13,H$4,0)</f>
        <v>0</v>
      </c>
      <c r="I95" s="3">
        <f>[1]!ripe(I94,I$11+Lähteandmed!$E72*I$13,I$4,0)</f>
        <v>0</v>
      </c>
      <c r="J95" s="3">
        <f>[1]!ripe(J94,J$11+Lähteandmed!$E72*J$13,J$4,0)</f>
        <v>0</v>
      </c>
      <c r="K95" s="3">
        <f>[1]!ripe(K94,K$11+Lähteandmed!$E72*K$13,K$4,0)</f>
        <v>0</v>
      </c>
      <c r="L95" s="3">
        <f>[1]!ripe(L94,L$11+Lähteandmed!$E72*L$13,L$4,0)</f>
        <v>0</v>
      </c>
      <c r="M95" s="3">
        <f>[1]!ripe(M94,M$11+Lähteandmed!$E72*M$13,M$4,0)</f>
        <v>0</v>
      </c>
      <c r="N95" s="3">
        <f>[1]!ripe(N94,N$11+Lähteandmed!$E72*N$13,N$4,0)</f>
        <v>0</v>
      </c>
      <c r="O95" s="3">
        <f>[1]!ripe(O94,O$11+Lähteandmed!$E72*O$13,O$4,0)</f>
        <v>0</v>
      </c>
      <c r="P95" s="3">
        <f>[1]!ripe(P94,P$11+Lähteandmed!$E72*P$13,P$4,0)</f>
        <v>0</v>
      </c>
      <c r="Q95" s="3">
        <f>[1]!ripe(Q94,Q$11+Lähteandmed!$E72*Q$13,Q$4,0)</f>
        <v>0</v>
      </c>
      <c r="R95" s="3">
        <f>[1]!ripe(R94,R$11+Lähteandmed!$E72*R$13,R$4,0)</f>
        <v>0</v>
      </c>
      <c r="S95" s="3"/>
      <c r="T95" s="3"/>
      <c r="U95" s="3"/>
      <c r="V95" s="3"/>
      <c r="W95" s="3"/>
    </row>
    <row r="96" spans="1:23" x14ac:dyDescent="0.2">
      <c r="A96" s="42"/>
      <c r="B96" s="173"/>
      <c r="C96" s="76" t="s">
        <v>49</v>
      </c>
      <c r="D96" s="50">
        <f t="shared" ref="D96:K96" si="63">D95/D$4^2*1000000</f>
        <v>0</v>
      </c>
      <c r="E96" s="50">
        <f t="shared" ref="E96:R96" si="64">E95/E$4^2*1000000</f>
        <v>0</v>
      </c>
      <c r="F96" s="50">
        <f t="shared" si="64"/>
        <v>0</v>
      </c>
      <c r="G96" s="50">
        <f t="shared" si="64"/>
        <v>0</v>
      </c>
      <c r="H96" s="50">
        <f t="shared" si="64"/>
        <v>0</v>
      </c>
      <c r="I96" s="50">
        <f t="shared" si="64"/>
        <v>0</v>
      </c>
      <c r="J96" s="50">
        <f t="shared" si="64"/>
        <v>0</v>
      </c>
      <c r="K96" s="50">
        <f t="shared" si="64"/>
        <v>0</v>
      </c>
      <c r="L96" s="50">
        <f t="shared" si="64"/>
        <v>0</v>
      </c>
      <c r="M96" s="50">
        <f t="shared" si="64"/>
        <v>0</v>
      </c>
      <c r="N96" s="50">
        <f t="shared" si="64"/>
        <v>0</v>
      </c>
      <c r="O96" s="50">
        <f t="shared" si="64"/>
        <v>0</v>
      </c>
      <c r="P96" s="50">
        <f t="shared" si="64"/>
        <v>0</v>
      </c>
      <c r="Q96" s="50">
        <f t="shared" si="64"/>
        <v>0</v>
      </c>
      <c r="R96" s="50">
        <f t="shared" si="64"/>
        <v>0</v>
      </c>
      <c r="S96" s="50"/>
      <c r="T96" s="50"/>
      <c r="U96" s="50"/>
      <c r="V96" s="50"/>
      <c r="W96" s="50"/>
    </row>
    <row r="97" spans="1:23" ht="38.25" x14ac:dyDescent="0.2">
      <c r="A97" s="159">
        <v>18</v>
      </c>
      <c r="B97" s="174">
        <f>Lähteandmed!B75</f>
        <v>0</v>
      </c>
      <c r="C97" s="77" t="s">
        <v>222</v>
      </c>
      <c r="D97" s="9">
        <f>SQRT((kaalutegur R_18*[1]!juhe(D5,6)+jaitetegur R_18*[1]!Jaitekoormus_EN(D$5,JaideJ,hj))^2+(tuuletegur R_18*[1]!Tuulekoormus_en(D$5,Qt,ht,zo,D$4,JaideJ,jaitetegur R_18))^2)</f>
        <v>0</v>
      </c>
      <c r="E97" s="9">
        <f>SQRT((kaalutegur R_18*[1]!juhe(E5,6)+jaitetegur R_18*[1]!Jaitekoormus_EN(E$5,JaideJ,hj))^2+(tuuletegur R_18*[1]!Tuulekoormus_en(E$5,Qt,ht,zo,E$4,JaideJ,jaitetegur R_18))^2)</f>
        <v>0</v>
      </c>
      <c r="F97" s="9">
        <f>SQRT((kaalutegur R_18*[1]!juhe(F5,6)+jaitetegur R_18*[1]!Jaitekoormus_EN(F$5,JaideJ,hj))^2+(tuuletegur R_18*[1]!Tuulekoormus_en(F$5,Qt,ht,zo,F$4,JaideJ,jaitetegur R_18))^2)</f>
        <v>0</v>
      </c>
      <c r="G97" s="9">
        <f>SQRT((kaalutegur R_18*[1]!juhe(G5,6)+jaitetegur R_18*[1]!Jaitekoormus_EN(G$5,JaideJ,hj))^2+(tuuletegur R_18*[1]!Tuulekoormus_en(G$5,Qt,ht,zo,G$4,JaideJ,jaitetegur R_18))^2)</f>
        <v>0</v>
      </c>
      <c r="H97" s="9">
        <f>SQRT((kaalutegur R_18*[1]!juhe(H5,6)+jaitetegur R_18*[1]!Jaitekoormus_EN(H$5,JaideJ,hj))^2+(tuuletegur R_18*[1]!Tuulekoormus_en(H$5,Qt,ht,zo,H$4,JaideJ,jaitetegur R_18))^2)</f>
        <v>0</v>
      </c>
      <c r="I97" s="9">
        <f>SQRT((kaalutegur R_18*[1]!juhe(I5,6)+jaitetegur R_18*[1]!Jaitekoormus_EN(I$5,JaideJ,hj))^2+(tuuletegur R_18*[1]!Tuulekoormus_en(I$5,Qt,ht,zo,I$4,JaideJ,jaitetegur R_18))^2)</f>
        <v>0</v>
      </c>
      <c r="J97" s="9">
        <f>SQRT((kaalutegur R_18*[1]!juhe(J5,6)+jaitetegur R_18*[1]!Jaitekoormus_EN(J$5,JaideJ,hj))^2+(tuuletegur R_18*[1]!Tuulekoormus_en(J$5,Qt,ht,zo,J$4,JaideJ,jaitetegur R_18))^2)</f>
        <v>0</v>
      </c>
      <c r="K97" s="9">
        <f>SQRT((kaalutegur R_18*[1]!juhe(K5,6)+jaitetegur R_18*[1]!Jaitekoormus_EN(K$5,JaideJ,hj))^2+(tuuletegur R_18*[1]!Tuulekoormus_en(K$5,Qt,ht,zo,K$4,JaideJ,jaitetegur R_18))^2)</f>
        <v>0</v>
      </c>
      <c r="L97" s="9">
        <f>SQRT((kaalutegur R_18*[1]!juhe(L5,6)+jaitetegur R_18*[1]!Jaitekoormus_EN(L$5,JaideJ,hj))^2+(tuuletegur R_18*[1]!Tuulekoormus_en(L$5,Qt,ht,zo,L$4,JaideJ,jaitetegur R_18))^2)</f>
        <v>0</v>
      </c>
      <c r="M97" s="9">
        <f>SQRT((kaalutegur R_18*[1]!juhe(M5,6)+jaitetegur R_18*[1]!Jaitekoormus_EN(M$5,JaideJ,hj))^2+(tuuletegur R_18*[1]!Tuulekoormus_en(M$5,Qt,ht,zo,M$4,JaideJ,jaitetegur R_18))^2)</f>
        <v>0</v>
      </c>
      <c r="N97" s="9">
        <f>SQRT((kaalutegur R_18*[1]!juhe(N5,6)+jaitetegur R_18*[1]!Jaitekoormus_EN(N$5,JaideJ,hj))^2+(tuuletegur R_18*[1]!Tuulekoormus_en(N$5,Qt,ht,zo,N$4,JaideJ,jaitetegur R_18))^2)</f>
        <v>0</v>
      </c>
      <c r="O97" s="9">
        <f>SQRT((kaalutegur R_18*[1]!juhe(O5,6)+jaitetegur R_18*[1]!Jaitekoormus_EN(O$5,JaideJ,hj))^2+(tuuletegur R_18*[1]!Tuulekoormus_en(O$5,Qt,ht,zo,O$4,JaideJ,jaitetegur R_18))^2)</f>
        <v>0</v>
      </c>
      <c r="P97" s="9">
        <f>SQRT((kaalutegur R_18*[1]!juhe(P5,6)+jaitetegur R_18*[1]!Jaitekoormus_EN(P$5,JaideJ,hj))^2+(tuuletegur R_18*[1]!Tuulekoormus_en(P$5,Qt,ht,zo,P$4,JaideJ,jaitetegur R_18))^2)</f>
        <v>0</v>
      </c>
      <c r="Q97" s="9">
        <f>SQRT((kaalutegur R_18*[1]!juhe(Q5,6)+jaitetegur R_18*[1]!Jaitekoormus_EN(Q$5,JaideJ,hj))^2+(tuuletegur R_18*[1]!Tuulekoormus_en(Q$5,Qt,ht,zo,Q$4,JaideJ,jaitetegur R_18))^2)</f>
        <v>0</v>
      </c>
      <c r="R97" s="9">
        <f>SQRT((kaalutegur R_18*[1]!juhe(R5,6)+jaitetegur R_18*[1]!Jaitekoormus_EN(R$5,JaideJ,hj))^2+(tuuletegur R_18*[1]!Tuulekoormus_en(R$5,Qt,ht,zo,R$4,JaideJ,jaitetegur R_18))^2)</f>
        <v>0</v>
      </c>
      <c r="S97" s="9"/>
      <c r="T97" s="9"/>
      <c r="U97" s="9"/>
      <c r="V97" s="9"/>
      <c r="W97" s="9"/>
    </row>
    <row r="98" spans="1:23" x14ac:dyDescent="0.2">
      <c r="A98" s="159"/>
      <c r="B98" s="174"/>
      <c r="C98" s="77" t="s">
        <v>104</v>
      </c>
      <c r="D98" s="22">
        <f>[1]!Olekuvorrand(D$4,D$5,D$8,5,D$11,Lähteandmed!$C75,D97)</f>
        <v>0</v>
      </c>
      <c r="E98" s="22">
        <f>[1]!Olekuvorrand(E$4,E$5,E$8,5,E$11,Lähteandmed!$C75,E97)</f>
        <v>0</v>
      </c>
      <c r="F98" s="22">
        <f>[1]!Olekuvorrand(F$4,F$5,F$8,5,F$11,Lähteandmed!$C75,F97)</f>
        <v>0</v>
      </c>
      <c r="G98" s="22">
        <f>[1]!Olekuvorrand(G$4,G$5,G$8,5,G$11,Lähteandmed!$C75,G97)</f>
        <v>0</v>
      </c>
      <c r="H98" s="22">
        <f>[1]!Olekuvorrand(H$4,H$5,H$8,5,H$11,Lähteandmed!$C75,H97)</f>
        <v>0</v>
      </c>
      <c r="I98" s="22">
        <f>[1]!Olekuvorrand(I$4,I$5,I$8,5,I$11,Lähteandmed!$C75,I97)</f>
        <v>0</v>
      </c>
      <c r="J98" s="22">
        <f>[1]!Olekuvorrand(J$4,J$5,J$8,5,J$11,Lähteandmed!$C75,J97)</f>
        <v>0</v>
      </c>
      <c r="K98" s="22">
        <f>[1]!Olekuvorrand(K$4,K$5,K$8,5,K$11,Lähteandmed!$C75,K97)</f>
        <v>0</v>
      </c>
      <c r="L98" s="22">
        <f>[1]!Olekuvorrand(L$4,L$5,L$8,5,L$11,Lähteandmed!$C75,L97)</f>
        <v>0</v>
      </c>
      <c r="M98" s="22">
        <f>[1]!Olekuvorrand(M$4,M$5,M$8,5,M$11,Lähteandmed!$C75,M97)</f>
        <v>0</v>
      </c>
      <c r="N98" s="22">
        <f>[1]!Olekuvorrand(N$4,N$5,N$8,5,N$11,Lähteandmed!$C75,N97)</f>
        <v>0</v>
      </c>
      <c r="O98" s="22">
        <f>[1]!Olekuvorrand(O$4,O$5,O$8,5,O$11,Lähteandmed!$C75,O97)</f>
        <v>0</v>
      </c>
      <c r="P98" s="22">
        <f>[1]!Olekuvorrand(P$4,P$5,P$8,5,P$11,Lähteandmed!$C75,P97)</f>
        <v>0</v>
      </c>
      <c r="Q98" s="22">
        <f>[1]!Olekuvorrand(Q$4,Q$5,Q$8,5,Q$11,Lähteandmed!$C75,Q97)</f>
        <v>0</v>
      </c>
      <c r="R98" s="22">
        <f>[1]!Olekuvorrand(R$4,R$5,R$8,5,R$11,Lähteandmed!$C75,R97)</f>
        <v>0</v>
      </c>
      <c r="S98" s="22"/>
      <c r="T98" s="22"/>
      <c r="U98" s="22"/>
      <c r="V98" s="22"/>
      <c r="W98" s="22"/>
    </row>
    <row r="99" spans="1:23" x14ac:dyDescent="0.2">
      <c r="A99" s="159"/>
      <c r="B99" s="174"/>
      <c r="C99" s="77" t="s">
        <v>105</v>
      </c>
      <c r="D99" s="9">
        <f>[1]!ripe(D98,D$11+Lähteandmed!$E75*D$13,D$4,0)</f>
        <v>0</v>
      </c>
      <c r="E99" s="9">
        <f>[1]!ripe(E98,E$11+Lähteandmed!$E75*E$13,E$4,0)</f>
        <v>0</v>
      </c>
      <c r="F99" s="9">
        <f>[1]!ripe(F98,F$11+Lähteandmed!$E75*F$13,F$4,0)</f>
        <v>0</v>
      </c>
      <c r="G99" s="9">
        <f>[1]!ripe(G98,G$11+Lähteandmed!$E75*G$13,G$4,0)</f>
        <v>0</v>
      </c>
      <c r="H99" s="9">
        <f>[1]!ripe(H98,H$11+Lähteandmed!$E75*H$13,H$4,0)</f>
        <v>0</v>
      </c>
      <c r="I99" s="9">
        <f>[1]!ripe(I98,I$11+Lähteandmed!$E75*I$13,I$4,0)</f>
        <v>0</v>
      </c>
      <c r="J99" s="9">
        <f>[1]!ripe(J98,J$11+Lähteandmed!$E75*J$13,J$4,0)</f>
        <v>0</v>
      </c>
      <c r="K99" s="9">
        <f>[1]!ripe(K98,K$11+Lähteandmed!$E75*K$13,K$4,0)</f>
        <v>0</v>
      </c>
      <c r="L99" s="9">
        <f>[1]!ripe(L98,L$11+Lähteandmed!$E75*L$13,L$4,0)</f>
        <v>0</v>
      </c>
      <c r="M99" s="9">
        <f>[1]!ripe(M98,M$11+Lähteandmed!$E75*M$13,M$4,0)</f>
        <v>0</v>
      </c>
      <c r="N99" s="9">
        <f>[1]!ripe(N98,N$11+Lähteandmed!$E75*N$13,N$4,0)</f>
        <v>0</v>
      </c>
      <c r="O99" s="9">
        <f>[1]!ripe(O98,O$11+Lähteandmed!$E75*O$13,O$4,0)</f>
        <v>0</v>
      </c>
      <c r="P99" s="9">
        <f>[1]!ripe(P98,P$11+Lähteandmed!$E75*P$13,P$4,0)</f>
        <v>0</v>
      </c>
      <c r="Q99" s="9">
        <f>[1]!ripe(Q98,Q$11+Lähteandmed!$E75*Q$13,Q$4,0)</f>
        <v>0</v>
      </c>
      <c r="R99" s="9">
        <f>[1]!ripe(R98,R$11+Lähteandmed!$E75*R$13,R$4,0)</f>
        <v>0</v>
      </c>
      <c r="S99" s="9"/>
      <c r="T99" s="9"/>
      <c r="U99" s="9"/>
      <c r="V99" s="9"/>
      <c r="W99" s="9"/>
    </row>
    <row r="100" spans="1:23" x14ac:dyDescent="0.2">
      <c r="A100" s="39"/>
      <c r="B100" s="174"/>
      <c r="C100" s="77" t="s">
        <v>49</v>
      </c>
      <c r="D100" s="51">
        <f t="shared" ref="D100:K100" si="65">D99/D$4^2*1000000</f>
        <v>0</v>
      </c>
      <c r="E100" s="51">
        <f t="shared" ref="E100:R100" si="66">E99/E$4^2*1000000</f>
        <v>0</v>
      </c>
      <c r="F100" s="51">
        <f t="shared" si="66"/>
        <v>0</v>
      </c>
      <c r="G100" s="51">
        <f t="shared" si="66"/>
        <v>0</v>
      </c>
      <c r="H100" s="51">
        <f t="shared" si="66"/>
        <v>0</v>
      </c>
      <c r="I100" s="51">
        <f t="shared" si="66"/>
        <v>0</v>
      </c>
      <c r="J100" s="51">
        <f t="shared" si="66"/>
        <v>0</v>
      </c>
      <c r="K100" s="51">
        <f t="shared" si="66"/>
        <v>0</v>
      </c>
      <c r="L100" s="51">
        <f t="shared" si="66"/>
        <v>0</v>
      </c>
      <c r="M100" s="51">
        <f t="shared" si="66"/>
        <v>0</v>
      </c>
      <c r="N100" s="51">
        <f t="shared" si="66"/>
        <v>0</v>
      </c>
      <c r="O100" s="51">
        <f t="shared" si="66"/>
        <v>0</v>
      </c>
      <c r="P100" s="51">
        <f t="shared" si="66"/>
        <v>0</v>
      </c>
      <c r="Q100" s="51">
        <f t="shared" si="66"/>
        <v>0</v>
      </c>
      <c r="R100" s="51">
        <f t="shared" si="66"/>
        <v>0</v>
      </c>
      <c r="S100" s="51"/>
      <c r="T100" s="51"/>
      <c r="U100" s="51"/>
      <c r="V100" s="51"/>
      <c r="W100" s="51"/>
    </row>
    <row r="101" spans="1:23" ht="38.25" x14ac:dyDescent="0.2">
      <c r="A101" s="172">
        <v>19</v>
      </c>
      <c r="B101" s="173">
        <f>Lähteandmed!B78</f>
        <v>0</v>
      </c>
      <c r="C101" s="76" t="s">
        <v>222</v>
      </c>
      <c r="D101" s="6">
        <f>SQRT((kaalutegur R_19*[1]!juhe(D5,6)+jaitetegur R_19*[1]!Jaitekoormus_EN(D$5,JaideJ,hj))^2+(tuuletegur R_19*[1]!Tuulekoormus_en(D$5,Qt,ht,zo,D$4,JaideJ,jaitetegur R_19))^2)</f>
        <v>0</v>
      </c>
      <c r="E101" s="6">
        <f>SQRT((kaalutegur R_19*[1]!juhe(E5,6)+jaitetegur R_19*[1]!Jaitekoormus_EN(E$5,JaideJ,hj))^2+(tuuletegur R_19*[1]!Tuulekoormus_en(E$5,Qt,ht,zo,E$4,JaideJ,jaitetegur R_19))^2)</f>
        <v>0</v>
      </c>
      <c r="F101" s="6">
        <f>SQRT((kaalutegur R_19*[1]!juhe(F5,6)+jaitetegur R_19*[1]!Jaitekoormus_EN(F$5,JaideJ,hj))^2+(tuuletegur R_19*[1]!Tuulekoormus_en(F$5,Qt,ht,zo,F$4,JaideJ,jaitetegur R_19))^2)</f>
        <v>0</v>
      </c>
      <c r="G101" s="6">
        <f>SQRT((kaalutegur R_19*[1]!juhe(G5,6)+jaitetegur R_19*[1]!Jaitekoormus_EN(G$5,JaideJ,hj))^2+(tuuletegur R_19*[1]!Tuulekoormus_en(G$5,Qt,ht,zo,G$4,JaideJ,jaitetegur R_19))^2)</f>
        <v>0</v>
      </c>
      <c r="H101" s="6">
        <f>SQRT((kaalutegur R_19*[1]!juhe(H5,6)+jaitetegur R_19*[1]!Jaitekoormus_EN(H$5,JaideJ,hj))^2+(tuuletegur R_19*[1]!Tuulekoormus_en(H$5,Qt,ht,zo,H$4,JaideJ,jaitetegur R_19))^2)</f>
        <v>0</v>
      </c>
      <c r="I101" s="6">
        <f>SQRT((kaalutegur R_19*[1]!juhe(I5,6)+jaitetegur R_19*[1]!Jaitekoormus_EN(I$5,JaideJ,hj))^2+(tuuletegur R_19*[1]!Tuulekoormus_en(I$5,Qt,ht,zo,I$4,JaideJ,jaitetegur R_19))^2)</f>
        <v>0</v>
      </c>
      <c r="J101" s="6">
        <f>SQRT((kaalutegur R_19*[1]!juhe(J5,6)+jaitetegur R_19*[1]!Jaitekoormus_EN(J$5,JaideJ,hj))^2+(tuuletegur R_19*[1]!Tuulekoormus_en(J$5,Qt,ht,zo,J$4,JaideJ,jaitetegur R_19))^2)</f>
        <v>0</v>
      </c>
      <c r="K101" s="6">
        <f>SQRT((kaalutegur R_19*[1]!juhe(K5,6)+jaitetegur R_19*[1]!Jaitekoormus_EN(K$5,JaideJ,hj))^2+(tuuletegur R_19*[1]!Tuulekoormus_en(K$5,Qt,ht,zo,K$4,JaideJ,jaitetegur R_19))^2)</f>
        <v>0</v>
      </c>
      <c r="L101" s="6">
        <f>SQRT((kaalutegur R_19*[1]!juhe(L5,6)+jaitetegur R_19*[1]!Jaitekoormus_EN(L$5,JaideJ,hj))^2+(tuuletegur R_19*[1]!Tuulekoormus_en(L$5,Qt,ht,zo,L$4,JaideJ,jaitetegur R_19))^2)</f>
        <v>0</v>
      </c>
      <c r="M101" s="6">
        <f>SQRT((kaalutegur R_19*[1]!juhe(M5,6)+jaitetegur R_19*[1]!Jaitekoormus_EN(M$5,JaideJ,hj))^2+(tuuletegur R_19*[1]!Tuulekoormus_en(M$5,Qt,ht,zo,M$4,JaideJ,jaitetegur R_19))^2)</f>
        <v>0</v>
      </c>
      <c r="N101" s="6">
        <f>SQRT((kaalutegur R_19*[1]!juhe(N5,6)+jaitetegur R_19*[1]!Jaitekoormus_EN(N$5,JaideJ,hj))^2+(tuuletegur R_19*[1]!Tuulekoormus_en(N$5,Qt,ht,zo,N$4,JaideJ,jaitetegur R_19))^2)</f>
        <v>0</v>
      </c>
      <c r="O101" s="6">
        <f>SQRT((kaalutegur R_19*[1]!juhe(O5,6)+jaitetegur R_19*[1]!Jaitekoormus_EN(O$5,JaideJ,hj))^2+(tuuletegur R_19*[1]!Tuulekoormus_en(O$5,Qt,ht,zo,O$4,JaideJ,jaitetegur R_19))^2)</f>
        <v>0</v>
      </c>
      <c r="P101" s="6">
        <f>SQRT((kaalutegur R_19*[1]!juhe(P5,6)+jaitetegur R_19*[1]!Jaitekoormus_EN(P$5,JaideJ,hj))^2+(tuuletegur R_19*[1]!Tuulekoormus_en(P$5,Qt,ht,zo,P$4,JaideJ,jaitetegur R_19))^2)</f>
        <v>0</v>
      </c>
      <c r="Q101" s="6">
        <f>SQRT((kaalutegur R_19*[1]!juhe(Q5,6)+jaitetegur R_19*[1]!Jaitekoormus_EN(Q$5,JaideJ,hj))^2+(tuuletegur R_19*[1]!Tuulekoormus_en(Q$5,Qt,ht,zo,Q$4,JaideJ,jaitetegur R_19))^2)</f>
        <v>0</v>
      </c>
      <c r="R101" s="6">
        <f>SQRT((kaalutegur R_19*[1]!juhe(R5,6)+jaitetegur R_19*[1]!Jaitekoormus_EN(R$5,JaideJ,hj))^2+(tuuletegur R_19*[1]!Tuulekoormus_en(R$5,Qt,ht,zo,R$4,JaideJ,jaitetegur R_19))^2)</f>
        <v>0</v>
      </c>
      <c r="S101" s="6"/>
      <c r="T101" s="6"/>
      <c r="U101" s="6"/>
      <c r="V101" s="6"/>
      <c r="W101" s="6"/>
    </row>
    <row r="102" spans="1:23" x14ac:dyDescent="0.2">
      <c r="A102" s="172"/>
      <c r="B102" s="173"/>
      <c r="C102" s="76" t="s">
        <v>104</v>
      </c>
      <c r="D102" s="3">
        <f>[1]!Olekuvorrand(D$4,D$5,D$8,5,D$11,Lähteandmed!$C78,D101)</f>
        <v>0</v>
      </c>
      <c r="E102" s="3">
        <f>[1]!Olekuvorrand(E$4,E$5,E$8,5,E$11,Lähteandmed!$C78,E101)</f>
        <v>0</v>
      </c>
      <c r="F102" s="3">
        <f>[1]!Olekuvorrand(F$4,F$5,F$8,5,F$11,Lähteandmed!$C78,F101)</f>
        <v>0</v>
      </c>
      <c r="G102" s="3">
        <f>[1]!Olekuvorrand(G$4,G$5,G$8,5,G$11,Lähteandmed!$C78,G101)</f>
        <v>0</v>
      </c>
      <c r="H102" s="3">
        <f>[1]!Olekuvorrand(H$4,H$5,H$8,5,H$11,Lähteandmed!$C78,H101)</f>
        <v>0</v>
      </c>
      <c r="I102" s="3">
        <f>[1]!Olekuvorrand(I$4,I$5,I$8,5,I$11,Lähteandmed!$C78,I101)</f>
        <v>0</v>
      </c>
      <c r="J102" s="3">
        <f>[1]!Olekuvorrand(J$4,J$5,J$8,5,J$11,Lähteandmed!$C78,J101)</f>
        <v>0</v>
      </c>
      <c r="K102" s="3">
        <f>[1]!Olekuvorrand(K$4,K$5,K$8,5,K$11,Lähteandmed!$C78,K101)</f>
        <v>0</v>
      </c>
      <c r="L102" s="3">
        <f>[1]!Olekuvorrand(L$4,L$5,L$8,5,L$11,Lähteandmed!$C78,L101)</f>
        <v>0</v>
      </c>
      <c r="M102" s="3">
        <f>[1]!Olekuvorrand(M$4,M$5,M$8,5,M$11,Lähteandmed!$C78,M101)</f>
        <v>0</v>
      </c>
      <c r="N102" s="3">
        <f>[1]!Olekuvorrand(N$4,N$5,N$8,5,N$11,Lähteandmed!$C78,N101)</f>
        <v>0</v>
      </c>
      <c r="O102" s="3">
        <f>[1]!Olekuvorrand(O$4,O$5,O$8,5,O$11,Lähteandmed!$C78,O101)</f>
        <v>0</v>
      </c>
      <c r="P102" s="3">
        <f>[1]!Olekuvorrand(P$4,P$5,P$8,5,P$11,Lähteandmed!$C78,P101)</f>
        <v>0</v>
      </c>
      <c r="Q102" s="3">
        <f>[1]!Olekuvorrand(Q$4,Q$5,Q$8,5,Q$11,Lähteandmed!$C78,Q101)</f>
        <v>0</v>
      </c>
      <c r="R102" s="3">
        <f>[1]!Olekuvorrand(R$4,R$5,R$8,5,R$11,Lähteandmed!$C78,R101)</f>
        <v>0</v>
      </c>
      <c r="S102" s="3"/>
      <c r="T102" s="3"/>
      <c r="U102" s="3"/>
      <c r="V102" s="3"/>
      <c r="W102" s="3"/>
    </row>
    <row r="103" spans="1:23" x14ac:dyDescent="0.2">
      <c r="A103" s="172"/>
      <c r="B103" s="173"/>
      <c r="C103" s="76" t="s">
        <v>105</v>
      </c>
      <c r="D103" s="3">
        <f>[1]!ripe(D102,D$11+Lähteandmed!$E78*D$13,D$4,0)</f>
        <v>0</v>
      </c>
      <c r="E103" s="3">
        <f>[1]!ripe(E102,E$11+Lähteandmed!$E78*E$13,E$4,0)</f>
        <v>0</v>
      </c>
      <c r="F103" s="3">
        <f>[1]!ripe(F102,F$11+Lähteandmed!$E78*F$13,F$4,0)</f>
        <v>0</v>
      </c>
      <c r="G103" s="3">
        <f>[1]!ripe(G102,G$11+Lähteandmed!$E78*G$13,G$4,0)</f>
        <v>0</v>
      </c>
      <c r="H103" s="3">
        <f>[1]!ripe(H102,H$11+Lähteandmed!$E78*H$13,H$4,0)</f>
        <v>0</v>
      </c>
      <c r="I103" s="3">
        <f>[1]!ripe(I102,I$11+Lähteandmed!$E78*I$13,I$4,0)</f>
        <v>0</v>
      </c>
      <c r="J103" s="3">
        <f>[1]!ripe(J102,J$11+Lähteandmed!$E78*J$13,J$4,0)</f>
        <v>0</v>
      </c>
      <c r="K103" s="3">
        <f>[1]!ripe(K102,K$11+Lähteandmed!$E78*K$13,K$4,0)</f>
        <v>0</v>
      </c>
      <c r="L103" s="3">
        <f>[1]!ripe(L102,L$11+Lähteandmed!$E78*L$13,L$4,0)</f>
        <v>0</v>
      </c>
      <c r="M103" s="3">
        <f>[1]!ripe(M102,M$11+Lähteandmed!$E78*M$13,M$4,0)</f>
        <v>0</v>
      </c>
      <c r="N103" s="3">
        <f>[1]!ripe(N102,N$11+Lähteandmed!$E78*N$13,N$4,0)</f>
        <v>0</v>
      </c>
      <c r="O103" s="3">
        <f>[1]!ripe(O102,O$11+Lähteandmed!$E78*O$13,O$4,0)</f>
        <v>0</v>
      </c>
      <c r="P103" s="3">
        <f>[1]!ripe(P102,P$11+Lähteandmed!$E78*P$13,P$4,0)</f>
        <v>0</v>
      </c>
      <c r="Q103" s="3">
        <f>[1]!ripe(Q102,Q$11+Lähteandmed!$E78*Q$13,Q$4,0)</f>
        <v>0</v>
      </c>
      <c r="R103" s="3">
        <f>[1]!ripe(R102,R$11+Lähteandmed!$E78*R$13,R$4,0)</f>
        <v>0</v>
      </c>
      <c r="S103" s="3"/>
      <c r="T103" s="3"/>
      <c r="U103" s="3"/>
      <c r="V103" s="3"/>
      <c r="W103" s="3"/>
    </row>
    <row r="104" spans="1:23" x14ac:dyDescent="0.2">
      <c r="A104" s="42"/>
      <c r="B104" s="173"/>
      <c r="C104" s="76" t="s">
        <v>49</v>
      </c>
      <c r="D104" s="50">
        <f t="shared" ref="D104:K104" si="67">D103/D$4^2*1000000</f>
        <v>0</v>
      </c>
      <c r="E104" s="50">
        <f t="shared" ref="E104:R104" si="68">E103/E$4^2*1000000</f>
        <v>0</v>
      </c>
      <c r="F104" s="50">
        <f t="shared" si="68"/>
        <v>0</v>
      </c>
      <c r="G104" s="50">
        <f t="shared" si="68"/>
        <v>0</v>
      </c>
      <c r="H104" s="50">
        <f t="shared" si="68"/>
        <v>0</v>
      </c>
      <c r="I104" s="50">
        <f t="shared" si="68"/>
        <v>0</v>
      </c>
      <c r="J104" s="50">
        <f t="shared" si="68"/>
        <v>0</v>
      </c>
      <c r="K104" s="50">
        <f t="shared" si="68"/>
        <v>0</v>
      </c>
      <c r="L104" s="50">
        <f t="shared" si="68"/>
        <v>0</v>
      </c>
      <c r="M104" s="50">
        <f t="shared" si="68"/>
        <v>0</v>
      </c>
      <c r="N104" s="50">
        <f t="shared" si="68"/>
        <v>0</v>
      </c>
      <c r="O104" s="50">
        <f t="shared" si="68"/>
        <v>0</v>
      </c>
      <c r="P104" s="50">
        <f t="shared" si="68"/>
        <v>0</v>
      </c>
      <c r="Q104" s="50">
        <f t="shared" si="68"/>
        <v>0</v>
      </c>
      <c r="R104" s="50">
        <f t="shared" si="68"/>
        <v>0</v>
      </c>
      <c r="S104" s="50"/>
      <c r="T104" s="50"/>
      <c r="U104" s="50"/>
      <c r="V104" s="50"/>
      <c r="W104" s="50"/>
    </row>
    <row r="105" spans="1:23" ht="38.25" x14ac:dyDescent="0.2">
      <c r="A105" s="159">
        <v>20</v>
      </c>
      <c r="B105" s="174">
        <f>Lähteandmed!B81</f>
        <v>0</v>
      </c>
      <c r="C105" s="77" t="s">
        <v>222</v>
      </c>
      <c r="D105" s="9">
        <f>SQRT((kaalutegur R_20*[1]!juhe(D5,6)+jaitetegur R_20*[1]!Jaitekoormus_EN(D$5,JaideJ,hj))^2+(tuuletegur R_20*[1]!Tuulekoormus_en(D$5,Qt,ht,zo,D$4,JaideJ,jaitetegur R_20))^2)</f>
        <v>0</v>
      </c>
      <c r="E105" s="9">
        <f>SQRT((kaalutegur R_20*[1]!juhe(E5,6)+jaitetegur R_20*[1]!Jaitekoormus_EN(E$5,JaideJ,hj))^2+(tuuletegur R_20*[1]!Tuulekoormus_en(E$5,Qt,ht,zo,E$4,JaideJ,jaitetegur R_20))^2)</f>
        <v>0</v>
      </c>
      <c r="F105" s="9">
        <f>SQRT((kaalutegur R_20*[1]!juhe(F5,6)+jaitetegur R_20*[1]!Jaitekoormus_EN(F$5,JaideJ,hj))^2+(tuuletegur R_20*[1]!Tuulekoormus_en(F$5,Qt,ht,zo,F$4,JaideJ,jaitetegur R_20))^2)</f>
        <v>0</v>
      </c>
      <c r="G105" s="9">
        <f>SQRT((kaalutegur R_20*[1]!juhe(G5,6)+jaitetegur R_20*[1]!Jaitekoormus_EN(G$5,JaideJ,hj))^2+(tuuletegur R_20*[1]!Tuulekoormus_en(G$5,Qt,ht,zo,G$4,JaideJ,jaitetegur R_20))^2)</f>
        <v>0</v>
      </c>
      <c r="H105" s="9">
        <f>SQRT((kaalutegur R_20*[1]!juhe(H5,6)+jaitetegur R_20*[1]!Jaitekoormus_EN(H$5,JaideJ,hj))^2+(tuuletegur R_20*[1]!Tuulekoormus_en(H$5,Qt,ht,zo,H$4,JaideJ,jaitetegur R_20))^2)</f>
        <v>0</v>
      </c>
      <c r="I105" s="9">
        <f>SQRT((kaalutegur R_20*[1]!juhe(I5,6)+jaitetegur R_20*[1]!Jaitekoormus_EN(I$5,JaideJ,hj))^2+(tuuletegur R_20*[1]!Tuulekoormus_en(I$5,Qt,ht,zo,I$4,JaideJ,jaitetegur R_20))^2)</f>
        <v>0</v>
      </c>
      <c r="J105" s="9">
        <f>SQRT((kaalutegur R_20*[1]!juhe(J5,6)+jaitetegur R_20*[1]!Jaitekoormus_EN(J$5,JaideJ,hj))^2+(tuuletegur R_20*[1]!Tuulekoormus_en(J$5,Qt,ht,zo,J$4,JaideJ,jaitetegur R_20))^2)</f>
        <v>0</v>
      </c>
      <c r="K105" s="9">
        <f>SQRT((kaalutegur R_20*[1]!juhe(K5,6)+jaitetegur R_20*[1]!Jaitekoormus_EN(K$5,JaideJ,hj))^2+(tuuletegur R_20*[1]!Tuulekoormus_en(K$5,Qt,ht,zo,K$4,JaideJ,jaitetegur R_20))^2)</f>
        <v>0</v>
      </c>
      <c r="L105" s="9">
        <f>SQRT((kaalutegur R_20*[1]!juhe(L5,6)+jaitetegur R_20*[1]!Jaitekoormus_EN(L$5,JaideJ,hj))^2+(tuuletegur R_20*[1]!Tuulekoormus_en(L$5,Qt,ht,zo,L$4,JaideJ,jaitetegur R_20))^2)</f>
        <v>0</v>
      </c>
      <c r="M105" s="9">
        <f>SQRT((kaalutegur R_20*[1]!juhe(M5,6)+jaitetegur R_20*[1]!Jaitekoormus_EN(M$5,JaideJ,hj))^2+(tuuletegur R_20*[1]!Tuulekoormus_en(M$5,Qt,ht,zo,M$4,JaideJ,jaitetegur R_20))^2)</f>
        <v>0</v>
      </c>
      <c r="N105" s="9">
        <f>SQRT((kaalutegur R_20*[1]!juhe(N5,6)+jaitetegur R_20*[1]!Jaitekoormus_EN(N$5,JaideJ,hj))^2+(tuuletegur R_20*[1]!Tuulekoormus_en(N$5,Qt,ht,zo,N$4,JaideJ,jaitetegur R_20))^2)</f>
        <v>0</v>
      </c>
      <c r="O105" s="9">
        <f>SQRT((kaalutegur R_20*[1]!juhe(O5,6)+jaitetegur R_20*[1]!Jaitekoormus_EN(O$5,JaideJ,hj))^2+(tuuletegur R_20*[1]!Tuulekoormus_en(O$5,Qt,ht,zo,O$4,JaideJ,jaitetegur R_20))^2)</f>
        <v>0</v>
      </c>
      <c r="P105" s="9">
        <f>SQRT((kaalutegur R_20*[1]!juhe(P5,6)+jaitetegur R_20*[1]!Jaitekoormus_EN(P$5,JaideJ,hj))^2+(tuuletegur R_20*[1]!Tuulekoormus_en(P$5,Qt,ht,zo,P$4,JaideJ,jaitetegur R_20))^2)</f>
        <v>0</v>
      </c>
      <c r="Q105" s="9">
        <f>SQRT((kaalutegur R_20*[1]!juhe(Q5,6)+jaitetegur R_20*[1]!Jaitekoormus_EN(Q$5,JaideJ,hj))^2+(tuuletegur R_20*[1]!Tuulekoormus_en(Q$5,Qt,ht,zo,Q$4,JaideJ,jaitetegur R_20))^2)</f>
        <v>0</v>
      </c>
      <c r="R105" s="9">
        <f>SQRT((kaalutegur R_20*[1]!juhe(R5,6)+jaitetegur R_20*[1]!Jaitekoormus_EN(R$5,JaideJ,hj))^2+(tuuletegur R_20*[1]!Tuulekoormus_en(R$5,Qt,ht,zo,R$4,JaideJ,jaitetegur R_20))^2)</f>
        <v>0</v>
      </c>
      <c r="S105" s="9"/>
      <c r="T105" s="9"/>
      <c r="U105" s="9"/>
      <c r="V105" s="9"/>
      <c r="W105" s="9"/>
    </row>
    <row r="106" spans="1:23" x14ac:dyDescent="0.2">
      <c r="A106" s="159"/>
      <c r="B106" s="174"/>
      <c r="C106" s="77" t="s">
        <v>104</v>
      </c>
      <c r="D106" s="22">
        <f>[1]!Olekuvorrand(D$4,D$5,D$8,5,D$11,Lähteandmed!$C81,D105)</f>
        <v>0</v>
      </c>
      <c r="E106" s="22">
        <f>[1]!Olekuvorrand(E$4,E$5,E$8,5,E$11,Lähteandmed!$C81,E105)</f>
        <v>0</v>
      </c>
      <c r="F106" s="22">
        <f>[1]!Olekuvorrand(F$4,F$5,F$8,5,F$11,Lähteandmed!$C81,F105)</f>
        <v>0</v>
      </c>
      <c r="G106" s="22">
        <f>[1]!Olekuvorrand(G$4,G$5,G$8,5,G$11,Lähteandmed!$C81,G105)</f>
        <v>0</v>
      </c>
      <c r="H106" s="22">
        <f>[1]!Olekuvorrand(H$4,H$5,H$8,5,H$11,Lähteandmed!$C81,H105)</f>
        <v>0</v>
      </c>
      <c r="I106" s="22">
        <f>[1]!Olekuvorrand(I$4,I$5,I$8,5,I$11,Lähteandmed!$C81,I105)</f>
        <v>0</v>
      </c>
      <c r="J106" s="22">
        <f>[1]!Olekuvorrand(J$4,J$5,J$8,5,J$11,Lähteandmed!$C81,J105)</f>
        <v>0</v>
      </c>
      <c r="K106" s="22">
        <f>[1]!Olekuvorrand(K$4,K$5,K$8,5,K$11,Lähteandmed!$C81,K105)</f>
        <v>0</v>
      </c>
      <c r="L106" s="22">
        <f>[1]!Olekuvorrand(L$4,L$5,L$8,5,L$11,Lähteandmed!$C81,L105)</f>
        <v>0</v>
      </c>
      <c r="M106" s="22">
        <f>[1]!Olekuvorrand(M$4,M$5,M$8,5,M$11,Lähteandmed!$C81,M105)</f>
        <v>0</v>
      </c>
      <c r="N106" s="22">
        <f>[1]!Olekuvorrand(N$4,N$5,N$8,5,N$11,Lähteandmed!$C81,N105)</f>
        <v>0</v>
      </c>
      <c r="O106" s="22">
        <f>[1]!Olekuvorrand(O$4,O$5,O$8,5,O$11,Lähteandmed!$C81,O105)</f>
        <v>0</v>
      </c>
      <c r="P106" s="22">
        <f>[1]!Olekuvorrand(P$4,P$5,P$8,5,P$11,Lähteandmed!$C81,P105)</f>
        <v>0</v>
      </c>
      <c r="Q106" s="22">
        <f>[1]!Olekuvorrand(Q$4,Q$5,Q$8,5,Q$11,Lähteandmed!$C81,Q105)</f>
        <v>0</v>
      </c>
      <c r="R106" s="22">
        <f>[1]!Olekuvorrand(R$4,R$5,R$8,5,R$11,Lähteandmed!$C81,R105)</f>
        <v>0</v>
      </c>
      <c r="S106" s="22"/>
      <c r="T106" s="22"/>
      <c r="U106" s="22"/>
      <c r="V106" s="22"/>
      <c r="W106" s="22"/>
    </row>
    <row r="107" spans="1:23" x14ac:dyDescent="0.2">
      <c r="A107" s="159"/>
      <c r="B107" s="174"/>
      <c r="C107" s="77" t="s">
        <v>105</v>
      </c>
      <c r="D107" s="9">
        <f>[1]!ripe(D106,D$11+Lähteandmed!$E81*D$13,D$4,0)</f>
        <v>0</v>
      </c>
      <c r="E107" s="9">
        <f>[1]!ripe(E106,E$11+Lähteandmed!$E81*E$13,E$4,0)</f>
        <v>0</v>
      </c>
      <c r="F107" s="9">
        <f>[1]!ripe(F106,F$11+Lähteandmed!$E81*F$13,F$4,0)</f>
        <v>0</v>
      </c>
      <c r="G107" s="9">
        <f>[1]!ripe(G106,G$11+Lähteandmed!$E81*G$13,G$4,0)</f>
        <v>0</v>
      </c>
      <c r="H107" s="9">
        <f>[1]!ripe(H106,H$11+Lähteandmed!$E81*H$13,H$4,0)</f>
        <v>0</v>
      </c>
      <c r="I107" s="9">
        <f>[1]!ripe(I106,I$11+Lähteandmed!$E81*I$13,I$4,0)</f>
        <v>0</v>
      </c>
      <c r="J107" s="9">
        <f>[1]!ripe(J106,J$11+Lähteandmed!$E81*J$13,J$4,0)</f>
        <v>0</v>
      </c>
      <c r="K107" s="9">
        <f>[1]!ripe(K106,K$11+Lähteandmed!$E81*K$13,K$4,0)</f>
        <v>0</v>
      </c>
      <c r="L107" s="9">
        <f>[1]!ripe(L106,L$11+Lähteandmed!$E81*L$13,L$4,0)</f>
        <v>0</v>
      </c>
      <c r="M107" s="9">
        <f>[1]!ripe(M106,M$11+Lähteandmed!$E81*M$13,M$4,0)</f>
        <v>0</v>
      </c>
      <c r="N107" s="9">
        <f>[1]!ripe(N106,N$11+Lähteandmed!$E81*N$13,N$4,0)</f>
        <v>0</v>
      </c>
      <c r="O107" s="9">
        <f>[1]!ripe(O106,O$11+Lähteandmed!$E81*O$13,O$4,0)</f>
        <v>0</v>
      </c>
      <c r="P107" s="9">
        <f>[1]!ripe(P106,P$11+Lähteandmed!$E81*P$13,P$4,0)</f>
        <v>0</v>
      </c>
      <c r="Q107" s="9">
        <f>[1]!ripe(Q106,Q$11+Lähteandmed!$E81*Q$13,Q$4,0)</f>
        <v>0</v>
      </c>
      <c r="R107" s="9">
        <f>[1]!ripe(R106,R$11+Lähteandmed!$E81*R$13,R$4,0)</f>
        <v>0</v>
      </c>
      <c r="S107" s="9"/>
      <c r="T107" s="9"/>
      <c r="U107" s="9"/>
      <c r="V107" s="9"/>
      <c r="W107" s="9"/>
    </row>
    <row r="108" spans="1:23" x14ac:dyDescent="0.2">
      <c r="B108" s="174"/>
      <c r="C108" s="77" t="s">
        <v>49</v>
      </c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</row>
  </sheetData>
  <mergeCells count="46">
    <mergeCell ref="A41:A43"/>
    <mergeCell ref="B41:B44"/>
    <mergeCell ref="B45:B48"/>
    <mergeCell ref="B49:B52"/>
    <mergeCell ref="A53:A55"/>
    <mergeCell ref="B53:B56"/>
    <mergeCell ref="A45:A47"/>
    <mergeCell ref="A49:A51"/>
    <mergeCell ref="A29:A30"/>
    <mergeCell ref="B29:B32"/>
    <mergeCell ref="A33:A35"/>
    <mergeCell ref="B33:B36"/>
    <mergeCell ref="B37:B40"/>
    <mergeCell ref="A37:A39"/>
    <mergeCell ref="B85:B88"/>
    <mergeCell ref="B57:B60"/>
    <mergeCell ref="B61:B64"/>
    <mergeCell ref="A65:A67"/>
    <mergeCell ref="B65:B68"/>
    <mergeCell ref="A69:A71"/>
    <mergeCell ref="B69:B72"/>
    <mergeCell ref="A57:A59"/>
    <mergeCell ref="A85:A87"/>
    <mergeCell ref="A73:A75"/>
    <mergeCell ref="A61:A63"/>
    <mergeCell ref="B73:B76"/>
    <mergeCell ref="A77:A79"/>
    <mergeCell ref="B77:B80"/>
    <mergeCell ref="A81:A83"/>
    <mergeCell ref="B81:B84"/>
    <mergeCell ref="A101:A103"/>
    <mergeCell ref="B101:B104"/>
    <mergeCell ref="A105:A107"/>
    <mergeCell ref="B105:B108"/>
    <mergeCell ref="A89:A91"/>
    <mergeCell ref="B89:B92"/>
    <mergeCell ref="A93:A95"/>
    <mergeCell ref="B93:B96"/>
    <mergeCell ref="A97:A99"/>
    <mergeCell ref="B97:B100"/>
    <mergeCell ref="A1:B1"/>
    <mergeCell ref="A2:B2"/>
    <mergeCell ref="C2:O2"/>
    <mergeCell ref="C1:O1"/>
    <mergeCell ref="P1:R1"/>
    <mergeCell ref="P2:R2"/>
  </mergeCells>
  <phoneticPr fontId="0" type="noConversion"/>
  <conditionalFormatting sqref="D21:IG21">
    <cfRule type="cellIs" dxfId="3" priority="3" stopIfTrue="1" operator="greaterThan">
      <formula>SMaxT</formula>
    </cfRule>
  </conditionalFormatting>
  <pageMargins left="0.59055118110236215" right="0.19685039370078741" top="0.86614173228346458" bottom="0.19685039370078741" header="0.51181102362204722" footer="0.15748031496062992"/>
  <pageSetup paperSize="9" scale="80" fitToHeight="0" orientation="landscape" r:id="rId1"/>
  <headerFooter alignWithMargins="0"/>
  <rowBreaks count="2" manualBreakCount="2">
    <brk id="40" max="17" man="1"/>
    <brk id="68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S108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29" sqref="E29"/>
    </sheetView>
  </sheetViews>
  <sheetFormatPr defaultRowHeight="12.75" x14ac:dyDescent="0.2"/>
  <cols>
    <col min="1" max="1" width="3" customWidth="1"/>
    <col min="2" max="3" width="18.5703125" customWidth="1"/>
    <col min="4" max="4" width="8.7109375" customWidth="1"/>
    <col min="5" max="5" width="9.42578125" customWidth="1"/>
    <col min="6" max="6" width="8.7109375" customWidth="1"/>
  </cols>
  <sheetData>
    <row r="3" spans="2:19" s="43" customFormat="1" ht="25.5" customHeight="1" x14ac:dyDescent="0.2">
      <c r="B3" s="47" t="s">
        <v>11</v>
      </c>
      <c r="C3" s="47"/>
      <c r="D3" s="81" t="str">
        <f>Visangud!D2</f>
        <v>103Y- 109Y</v>
      </c>
      <c r="E3" s="81" t="str">
        <f>Visangud!E2</f>
        <v>109Y- 117Y</v>
      </c>
      <c r="F3" s="81" t="str">
        <f>Visangud!F2</f>
        <v>117Y- 118Y</v>
      </c>
      <c r="G3" s="81" t="str">
        <f>Visangud!G2</f>
        <v>118Y- 121Y</v>
      </c>
      <c r="H3" s="81" t="str">
        <f>Visangud!H2</f>
        <v>121Y- 126Y</v>
      </c>
      <c r="I3" s="81" t="str">
        <f>Visangud!I2</f>
        <v>126Y- 128Y</v>
      </c>
      <c r="J3" s="81" t="str">
        <f>Visangud!J2</f>
        <v>128Y- 133Y</v>
      </c>
      <c r="K3" s="81" t="str">
        <f>Visangud!K2</f>
        <v>133Y- 137Y</v>
      </c>
      <c r="L3" s="81" t="str">
        <f>Visangud!L2</f>
        <v>137Y- 144Y</v>
      </c>
      <c r="M3" s="81" t="str">
        <f>Visangud!M2</f>
        <v>144Y- 148Y</v>
      </c>
      <c r="N3" s="81" t="str">
        <f>Visangud!N2</f>
        <v>148Y- 151Y</v>
      </c>
      <c r="O3" s="81" t="str">
        <f>Visangud!O2</f>
        <v>151Y- 154Y</v>
      </c>
      <c r="P3" s="81" t="str">
        <f>Visangud!P2</f>
        <v>154Y- 156Y</v>
      </c>
      <c r="Q3" s="81" t="str">
        <f>Visangud!Q2</f>
        <v>156Y- 164Y</v>
      </c>
      <c r="R3" s="81" t="str">
        <f>Visangud!R2</f>
        <v>164Y - L507 165</v>
      </c>
      <c r="S3" s="81"/>
    </row>
    <row r="4" spans="2:19" x14ac:dyDescent="0.2">
      <c r="B4" s="1" t="s">
        <v>103</v>
      </c>
      <c r="C4" s="1"/>
      <c r="D4" s="98">
        <f>Visangud!D14</f>
        <v>447.20458836298803</v>
      </c>
      <c r="E4" s="98">
        <f>Visangud!E14</f>
        <v>443.42681236767572</v>
      </c>
      <c r="F4" s="98">
        <f>Visangud!F14</f>
        <v>440.31887592980098</v>
      </c>
      <c r="G4" s="98">
        <f>Visangud!G14</f>
        <v>352.77649774332502</v>
      </c>
      <c r="H4" s="98">
        <f>Visangud!H14</f>
        <v>429.81699666990465</v>
      </c>
      <c r="I4" s="98">
        <f>Visangud!I14</f>
        <v>421.89254548697357</v>
      </c>
      <c r="J4" s="98">
        <f>Visangud!J14</f>
        <v>408.37030439381806</v>
      </c>
      <c r="K4" s="98">
        <f>Visangud!K14</f>
        <v>469.49775693170682</v>
      </c>
      <c r="L4" s="98">
        <f>Visangud!L14</f>
        <v>408.56484089595034</v>
      </c>
      <c r="M4" s="98">
        <f>Visangud!M14</f>
        <v>466.6264206472535</v>
      </c>
      <c r="N4" s="98">
        <f>Visangud!N14</f>
        <v>461.53149095186666</v>
      </c>
      <c r="O4" s="98">
        <f>Visangud!O14</f>
        <v>407.59018580213103</v>
      </c>
      <c r="P4" s="98">
        <f>Visangud!P14</f>
        <v>360.03370480776539</v>
      </c>
      <c r="Q4" s="98">
        <f>Visangud!Q14</f>
        <v>372.01845882629567</v>
      </c>
      <c r="R4" s="98">
        <f>Visangud!R14</f>
        <v>426.99285708293951</v>
      </c>
      <c r="S4" s="98"/>
    </row>
    <row r="5" spans="2:19" s="44" customFormat="1" ht="26.25" customHeight="1" x14ac:dyDescent="0.2">
      <c r="B5" s="43" t="s">
        <v>63</v>
      </c>
      <c r="C5" s="43"/>
      <c r="D5" s="60" t="str">
        <f>Visangud!D8</f>
        <v>OPGW-2S 2/48B1 (0/93-55.3)</v>
      </c>
      <c r="E5" s="60" t="str">
        <f>Visangud!E8</f>
        <v>OPGW-2S 2/48B1 (0/93-55.3)</v>
      </c>
      <c r="F5" s="60" t="str">
        <f>Visangud!F8</f>
        <v>OPGW-2S 2/48B1 (0/93-55.3)</v>
      </c>
      <c r="G5" s="60" t="str">
        <f>Visangud!G8</f>
        <v>OPGW-2S 2/48B1 (0/93-55.3)</v>
      </c>
      <c r="H5" s="60" t="str">
        <f>Visangud!H8</f>
        <v>OPGW-2S 2/48B1 (0/93-55.3)</v>
      </c>
      <c r="I5" s="60" t="str">
        <f>Visangud!I8</f>
        <v>OPGW-2S 2/48B1 (0/93-55.3)</v>
      </c>
      <c r="J5" s="60" t="str">
        <f>Visangud!J8</f>
        <v>OPGW-2S 2/48B1 (0/93-55.3)</v>
      </c>
      <c r="K5" s="60" t="str">
        <f>Visangud!K8</f>
        <v>OPGW-2S 2/48B1 (0/93-55.3)</v>
      </c>
      <c r="L5" s="60" t="str">
        <f>Visangud!L8</f>
        <v>OPGW-2S 2/48B1 (0/93-55.3)</v>
      </c>
      <c r="M5" s="60" t="str">
        <f>Visangud!M8</f>
        <v>OPGW-2S 2/48B1 (0/93-55.3)</v>
      </c>
      <c r="N5" s="60" t="str">
        <f>Visangud!N8</f>
        <v>OPGW-2S 2/48B1 (0/93-55.3)</v>
      </c>
      <c r="O5" s="60" t="str">
        <f>Visangud!O8</f>
        <v>OPGW-2S 2/48B1 (0/93-55.3)</v>
      </c>
      <c r="P5" s="60" t="str">
        <f>Visangud!P8</f>
        <v>OPGW-2S 2/48B1 (0/93-55.3)</v>
      </c>
      <c r="Q5" s="60" t="str">
        <f>Visangud!Q8</f>
        <v>OPGW-2S 2/48B1 (0/93-55.3)</v>
      </c>
      <c r="R5" s="60" t="str">
        <f>Visangud!R8</f>
        <v>OPGW-2S 2/48B1 (0/93-55.3)</v>
      </c>
      <c r="S5" s="60"/>
    </row>
    <row r="6" spans="2:19" x14ac:dyDescent="0.2">
      <c r="B6" s="1" t="s">
        <v>38</v>
      </c>
      <c r="C6" s="1"/>
      <c r="D6" s="49">
        <f>Visangud!D11</f>
        <v>11.7</v>
      </c>
      <c r="E6" s="49">
        <f>Visangud!E11</f>
        <v>11.5</v>
      </c>
      <c r="F6" s="49">
        <f>Visangud!F11</f>
        <v>11.3</v>
      </c>
      <c r="G6" s="49">
        <f>Visangud!G11</f>
        <v>6.9</v>
      </c>
      <c r="H6" s="49">
        <f>Visangud!H11</f>
        <v>10.7</v>
      </c>
      <c r="I6" s="49">
        <f>Visangud!I11</f>
        <v>10.3</v>
      </c>
      <c r="J6" s="49">
        <f>Visangud!J11</f>
        <v>9.5</v>
      </c>
      <c r="K6" s="49">
        <f>Visangud!K11</f>
        <v>14</v>
      </c>
      <c r="L6" s="49">
        <f>Visangud!L11</f>
        <v>10</v>
      </c>
      <c r="M6" s="49">
        <f>Visangud!M11</f>
        <v>12.8</v>
      </c>
      <c r="N6" s="49">
        <f>Visangud!N11</f>
        <v>12.5</v>
      </c>
      <c r="O6" s="49">
        <f>Visangud!O11</f>
        <v>9.5</v>
      </c>
      <c r="P6" s="49">
        <f>Visangud!P11</f>
        <v>7.2</v>
      </c>
      <c r="Q6" s="49">
        <f>Visangud!Q11</f>
        <v>7.7</v>
      </c>
      <c r="R6" s="49">
        <f>Visangud!R11</f>
        <v>10.5</v>
      </c>
      <c r="S6" s="49"/>
    </row>
    <row r="7" spans="2:19" x14ac:dyDescent="0.2">
      <c r="B7" s="1" t="s">
        <v>39</v>
      </c>
      <c r="C7" s="1"/>
      <c r="D7" s="49">
        <f>[1]!pingsus(D6,D4,D11,0)</f>
        <v>133.54162917528686</v>
      </c>
      <c r="E7" s="49">
        <f>[1]!pingsus(E6,E4,E11,0)</f>
        <v>133.57835456967248</v>
      </c>
      <c r="F7" s="49">
        <f>[1]!pingsus(F6,F4,F11,0)</f>
        <v>134.04363419530105</v>
      </c>
      <c r="G7" s="49">
        <f>[1]!pingsus(G6,G4,G11,0)</f>
        <v>140.90948523555954</v>
      </c>
      <c r="H7" s="49">
        <f>[1]!pingsus(H6,H4,H11,0)</f>
        <v>134.88803345965016</v>
      </c>
      <c r="I7" s="49">
        <f>[1]!pingsus(I6,I4,I11,0)</f>
        <v>135.00706912733469</v>
      </c>
      <c r="J7" s="49">
        <f>[1]!pingsus(J6,J4,J11,0)</f>
        <v>137.1433433476148</v>
      </c>
      <c r="K7" s="49">
        <f>[1]!pingsus(K6,K4,K11,0)</f>
        <v>123.00677665396431</v>
      </c>
      <c r="L7" s="49">
        <f>[1]!pingsus(L6,L4,L11,0)</f>
        <v>130.41033532526032</v>
      </c>
      <c r="M7" s="49">
        <f>[1]!pingsus(M6,M4,M11,0)</f>
        <v>132.89808132694552</v>
      </c>
      <c r="N7" s="49">
        <f>[1]!pingsus(N6,N4,N11,0)</f>
        <v>133.1320732126581</v>
      </c>
      <c r="O7" s="49">
        <f>[1]!pingsus(O6,O4,O11,0)</f>
        <v>136.61986806103266</v>
      </c>
      <c r="P7" s="49">
        <f>[1]!pingsus(P6,P4,P11,0)</f>
        <v>140.65133311372085</v>
      </c>
      <c r="Q7" s="49">
        <f>[1]!pingsus(Q6,Q4,Q11,0)</f>
        <v>140.41977851815366</v>
      </c>
      <c r="R7" s="49">
        <f>[1]!pingsus(R6,R4,R11,0)</f>
        <v>135.65691964274671</v>
      </c>
      <c r="S7" s="49"/>
    </row>
    <row r="8" spans="2:19" ht="13.5" thickBot="1" x14ac:dyDescent="0.25">
      <c r="B8" s="1" t="s">
        <v>80</v>
      </c>
      <c r="C8" s="1"/>
      <c r="D8" s="46">
        <f>[1]!Olekuvorrand(D4,D5,D7,15,D11,5,D11)</f>
        <v>133.93706083297729</v>
      </c>
      <c r="E8" s="46">
        <f>[1]!Olekuvorrand(E4,E5,E7,15,E11,5,E11)</f>
        <v>133.97938013076782</v>
      </c>
      <c r="F8" s="46">
        <f>[1]!Olekuvorrand(F4,F5,F7,15,F11,5,F11)</f>
        <v>134.45252180099487</v>
      </c>
      <c r="G8" s="46">
        <f>[1]!Olekuvorrand(G4,G5,G7,15,G11,5,G11)</f>
        <v>141.54022932052612</v>
      </c>
      <c r="H8" s="46">
        <f>[1]!Olekuvorrand(H4,H5,H7,15,H11,5,H11)</f>
        <v>135.31893491744995</v>
      </c>
      <c r="I8" s="46">
        <f>[1]!Olekuvorrand(I4,I5,I7,15,I11,5,I11)</f>
        <v>135.45137643814087</v>
      </c>
      <c r="J8" s="46">
        <f>[1]!Olekuvorrand(J4,J5,J7,15,J11,5,J11)</f>
        <v>137.62706518173218</v>
      </c>
      <c r="K8" s="46">
        <f>[1]!Olekuvorrand(K4,K5,K7,15,K11,5,K11)</f>
        <v>123.30502271652222</v>
      </c>
      <c r="L8" s="46">
        <f>[1]!Olekuvorrand(L4,L5,L7,15,L11,5,L11)</f>
        <v>130.84131479263306</v>
      </c>
      <c r="M8" s="46">
        <f>[1]!Olekuvorrand(M4,M5,M7,15,M11,5,M11)</f>
        <v>133.26317071914673</v>
      </c>
      <c r="N8" s="46">
        <f>[1]!Olekuvorrand(N4,N5,N7,15,N11,5,N11)</f>
        <v>133.50528478622437</v>
      </c>
      <c r="O8" s="46">
        <f>[1]!Olekuvorrand(O4,O5,O7,15,O11,5,O11)</f>
        <v>137.10087537765503</v>
      </c>
      <c r="P8" s="46">
        <f>[1]!Olekuvorrand(P4,P5,P7,15,P11,5,P11)</f>
        <v>141.2627100944519</v>
      </c>
      <c r="Q8" s="46">
        <f>[1]!Olekuvorrand(Q4,Q5,Q7,15,Q11,5,Q11)</f>
        <v>141.00223779678345</v>
      </c>
      <c r="R8" s="46">
        <f>[1]!Olekuvorrand(R4,R5,R7,15,R11,5,R11)</f>
        <v>136.09796762466431</v>
      </c>
      <c r="S8" s="46"/>
    </row>
    <row r="9" spans="2:19" ht="13.5" thickTop="1" x14ac:dyDescent="0.2">
      <c r="B9" s="25" t="s">
        <v>12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2:19" x14ac:dyDescent="0.2">
      <c r="B10" s="1" t="s">
        <v>223</v>
      </c>
      <c r="C10" s="1"/>
    </row>
    <row r="11" spans="2:19" x14ac:dyDescent="0.2">
      <c r="B11" s="20" t="s">
        <v>2</v>
      </c>
      <c r="C11" s="20"/>
      <c r="D11" s="2" t="str">
        <f>[1]!juhe(D5,6)</f>
        <v>0,0625</v>
      </c>
      <c r="E11" s="2" t="str">
        <f>[1]!juhe(E5,6)</f>
        <v>0,0625</v>
      </c>
      <c r="F11" s="2" t="str">
        <f>[1]!juhe(F5,6)</f>
        <v>0,0625</v>
      </c>
      <c r="G11" s="2" t="str">
        <f>[1]!juhe(G5,6)</f>
        <v>0,0625</v>
      </c>
      <c r="H11" s="2" t="str">
        <f>[1]!juhe(H5,6)</f>
        <v>0,0625</v>
      </c>
      <c r="I11" s="2" t="str">
        <f>[1]!juhe(I5,6)</f>
        <v>0,0625</v>
      </c>
      <c r="J11" s="2" t="str">
        <f>[1]!juhe(J5,6)</f>
        <v>0,0625</v>
      </c>
      <c r="K11" s="2" t="str">
        <f>[1]!juhe(K5,6)</f>
        <v>0,0625</v>
      </c>
      <c r="L11" s="2" t="str">
        <f>[1]!juhe(L5,6)</f>
        <v>0,0625</v>
      </c>
      <c r="M11" s="2" t="str">
        <f>[1]!juhe(M5,6)</f>
        <v>0,0625</v>
      </c>
      <c r="N11" s="2" t="str">
        <f>[1]!juhe(N5,6)</f>
        <v>0,0625</v>
      </c>
      <c r="O11" s="2" t="str">
        <f>[1]!juhe(O5,6)</f>
        <v>0,0625</v>
      </c>
      <c r="P11" s="2" t="str">
        <f>[1]!juhe(P5,6)</f>
        <v>0,0625</v>
      </c>
      <c r="Q11" s="2" t="str">
        <f>[1]!juhe(Q5,6)</f>
        <v>0,0625</v>
      </c>
      <c r="R11" s="2" t="str">
        <f>[1]!juhe(R5,6)</f>
        <v>0,0625</v>
      </c>
      <c r="S11" s="2"/>
    </row>
    <row r="12" spans="2:19" x14ac:dyDescent="0.2">
      <c r="B12" s="20" t="s">
        <v>5</v>
      </c>
      <c r="C12" s="20"/>
      <c r="D12" s="5">
        <f>[1]!Tuulekoormus_en(D$5,Qt,ht,zo,D4,JaideJ,0)</f>
        <v>0.10186313286292088</v>
      </c>
      <c r="E12" s="5">
        <f>[1]!Tuulekoormus_en(E$5,Qt,ht,zo,E4,JaideJ,0)</f>
        <v>0.10195175752698322</v>
      </c>
      <c r="F12" s="5">
        <f>[1]!Tuulekoormus_en(F$5,Qt,ht,zo,F4,JaideJ,0)</f>
        <v>0.10202523604834565</v>
      </c>
      <c r="G12" s="5">
        <f>[1]!Tuulekoormus_en(G$5,Qt,ht,zo,G4,JaideJ,0)</f>
        <v>0.10434092328634421</v>
      </c>
      <c r="H12" s="5">
        <f>[1]!Tuulekoormus_en(H$5,Qt,ht,zo,H4,JaideJ,0)</f>
        <v>0.1022774184832788</v>
      </c>
      <c r="I12" s="5">
        <f>[1]!Tuulekoormus_en(I$5,Qt,ht,zo,I4,JaideJ,0)</f>
        <v>0.10247182195274694</v>
      </c>
      <c r="J12" s="5">
        <f>[1]!Tuulekoormus_en(J$5,Qt,ht,zo,J4,JaideJ,0)</f>
        <v>0.1028121402274088</v>
      </c>
      <c r="K12" s="5">
        <f>[1]!Tuulekoormus_en(K$5,Qt,ht,zo,K4,JaideJ,0)</f>
        <v>0.10135492323081523</v>
      </c>
      <c r="L12" s="5">
        <f>[1]!Tuulekoormus_en(L$5,Qt,ht,zo,L4,JaideJ,0)</f>
        <v>0.10280716483512486</v>
      </c>
      <c r="M12" s="5">
        <f>[1]!Tuulekoormus_en(M$5,Qt,ht,zo,M4,JaideJ,0)</f>
        <v>0.10141900961316275</v>
      </c>
      <c r="N12" s="5">
        <f>[1]!Tuulekoormus_en(N$5,Qt,ht,zo,N4,JaideJ,0)</f>
        <v>0.10153370197187239</v>
      </c>
      <c r="O12" s="5">
        <f>[1]!Tuulekoormus_en(O$5,Qt,ht,zo,O4,JaideJ,0)</f>
        <v>0.10283211608474652</v>
      </c>
      <c r="P12" s="5">
        <f>[1]!Tuulekoormus_en(P$5,Qt,ht,zo,P4,JaideJ,0)</f>
        <v>0.1041281954067015</v>
      </c>
      <c r="Q12" s="5">
        <f>[1]!Tuulekoormus_en(Q$5,Qt,ht,zo,Q4,JaideJ,0)</f>
        <v>0.10378610594256907</v>
      </c>
      <c r="R12" s="5">
        <f>[1]!Tuulekoormus_en(R$5,Qt,ht,zo,R4,JaideJ,0)</f>
        <v>0.10234628642073153</v>
      </c>
      <c r="S12" s="5"/>
    </row>
    <row r="13" spans="2:19" x14ac:dyDescent="0.2">
      <c r="B13" s="7" t="s">
        <v>0</v>
      </c>
      <c r="C13" s="7"/>
      <c r="D13" s="5">
        <f>[1]!Jaitekoormus_EN(D$5,JaideJ,hj)</f>
        <v>7.3442507549381392E-2</v>
      </c>
      <c r="E13" s="5">
        <f>[1]!Jaitekoormus_EN(E$5,JaideJ,hj)</f>
        <v>7.3442507549381392E-2</v>
      </c>
      <c r="F13" s="5">
        <f>[1]!Jaitekoormus_EN(F$5,JaideJ,hj)</f>
        <v>7.3442507549381392E-2</v>
      </c>
      <c r="G13" s="5">
        <f>[1]!Jaitekoormus_EN(G$5,JaideJ,hj)</f>
        <v>7.3442507549381392E-2</v>
      </c>
      <c r="H13" s="5">
        <f>[1]!Jaitekoormus_EN(H$5,JaideJ,hj)</f>
        <v>7.3442507549381392E-2</v>
      </c>
      <c r="I13" s="5">
        <f>[1]!Jaitekoormus_EN(I$5,JaideJ,hj)</f>
        <v>7.3442507549381392E-2</v>
      </c>
      <c r="J13" s="5">
        <f>[1]!Jaitekoormus_EN(J$5,JaideJ,hj)</f>
        <v>7.3442507549381392E-2</v>
      </c>
      <c r="K13" s="5">
        <f>[1]!Jaitekoormus_EN(K$5,JaideJ,hj)</f>
        <v>7.3442507549381392E-2</v>
      </c>
      <c r="L13" s="5">
        <f>[1]!Jaitekoormus_EN(L$5,JaideJ,hj)</f>
        <v>7.3442507549381392E-2</v>
      </c>
      <c r="M13" s="5">
        <f>[1]!Jaitekoormus_EN(M$5,JaideJ,hj)</f>
        <v>7.3442507549381392E-2</v>
      </c>
      <c r="N13" s="5">
        <f>[1]!Jaitekoormus_EN(N$5,JaideJ,hj)</f>
        <v>7.3442507549381392E-2</v>
      </c>
      <c r="O13" s="5">
        <f>[1]!Jaitekoormus_EN(O$5,JaideJ,hj)</f>
        <v>7.3442507549381392E-2</v>
      </c>
      <c r="P13" s="5">
        <f>[1]!Jaitekoormus_EN(P$5,JaideJ,hj)</f>
        <v>7.3442507549381392E-2</v>
      </c>
      <c r="Q13" s="5">
        <f>[1]!Jaitekoormus_EN(Q$5,JaideJ,hj)</f>
        <v>7.3442507549381392E-2</v>
      </c>
      <c r="R13" s="5">
        <f>[1]!Jaitekoormus_EN(R$5,JaideJ,hj)</f>
        <v>7.3442507549381392E-2</v>
      </c>
      <c r="S13" s="5"/>
    </row>
    <row r="14" spans="2:19" s="70" customFormat="1" x14ac:dyDescent="0.2">
      <c r="B14" s="70" t="s">
        <v>83</v>
      </c>
      <c r="D14" s="70" t="str">
        <f>[1]!juhe(D5,8)</f>
        <v>376,8</v>
      </c>
      <c r="E14" s="70" t="str">
        <f>[1]!juhe(E5,8)</f>
        <v>376,8</v>
      </c>
      <c r="F14" s="70" t="str">
        <f>[1]!juhe(F5,8)</f>
        <v>376,8</v>
      </c>
      <c r="G14" s="70" t="str">
        <f>[1]!juhe(G5,8)</f>
        <v>376,8</v>
      </c>
      <c r="H14" s="70" t="str">
        <f>[1]!juhe(H5,8)</f>
        <v>376,8</v>
      </c>
      <c r="I14" s="70" t="str">
        <f>[1]!juhe(I5,8)</f>
        <v>376,8</v>
      </c>
      <c r="J14" s="70" t="str">
        <f>[1]!juhe(J5,8)</f>
        <v>376,8</v>
      </c>
      <c r="K14" s="70" t="str">
        <f>[1]!juhe(K5,8)</f>
        <v>376,8</v>
      </c>
      <c r="L14" s="70" t="str">
        <f>[1]!juhe(L5,8)</f>
        <v>376,8</v>
      </c>
      <c r="M14" s="70" t="str">
        <f>[1]!juhe(M5,8)</f>
        <v>376,8</v>
      </c>
      <c r="N14" s="70" t="str">
        <f>[1]!juhe(N5,8)</f>
        <v>376,8</v>
      </c>
      <c r="O14" s="70" t="str">
        <f>[1]!juhe(O5,8)</f>
        <v>376,8</v>
      </c>
      <c r="P14" s="70" t="str">
        <f>[1]!juhe(P5,8)</f>
        <v>376,8</v>
      </c>
      <c r="Q14" s="70" t="str">
        <f>[1]!juhe(Q5,8)</f>
        <v>376,8</v>
      </c>
      <c r="R14" s="70" t="str">
        <f>[1]!juhe(R5,8)</f>
        <v>376,8</v>
      </c>
    </row>
    <row r="15" spans="2:19" x14ac:dyDescent="0.2">
      <c r="B15" s="1"/>
      <c r="C15" s="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2:19" x14ac:dyDescent="0.2">
      <c r="B16" s="1" t="s">
        <v>9</v>
      </c>
      <c r="C16" s="1"/>
    </row>
    <row r="17" spans="2:19" x14ac:dyDescent="0.2">
      <c r="B17" s="2" t="s">
        <v>10</v>
      </c>
      <c r="C17" s="2"/>
      <c r="D17" s="21">
        <f t="shared" ref="D17:Q17" si="0">(MATCH(D20,D29:D107,0)+2)/4</f>
        <v>5</v>
      </c>
      <c r="E17" s="21">
        <f t="shared" si="0"/>
        <v>5</v>
      </c>
      <c r="F17" s="21">
        <f t="shared" si="0"/>
        <v>5</v>
      </c>
      <c r="G17" s="21">
        <f t="shared" si="0"/>
        <v>5</v>
      </c>
      <c r="H17" s="21">
        <f t="shared" si="0"/>
        <v>5</v>
      </c>
      <c r="I17" s="21">
        <f t="shared" si="0"/>
        <v>5</v>
      </c>
      <c r="J17" s="21">
        <f t="shared" si="0"/>
        <v>5</v>
      </c>
      <c r="K17" s="21">
        <f t="shared" si="0"/>
        <v>5</v>
      </c>
      <c r="L17" s="21">
        <f t="shared" si="0"/>
        <v>5</v>
      </c>
      <c r="M17" s="21">
        <f t="shared" si="0"/>
        <v>5</v>
      </c>
      <c r="N17" s="21">
        <f t="shared" si="0"/>
        <v>5</v>
      </c>
      <c r="O17" s="21">
        <f t="shared" si="0"/>
        <v>5</v>
      </c>
      <c r="P17" s="21">
        <f t="shared" si="0"/>
        <v>5</v>
      </c>
      <c r="Q17" s="21">
        <f t="shared" si="0"/>
        <v>5</v>
      </c>
      <c r="R17" s="21">
        <f t="shared" ref="R17" si="1">(MATCH(R20,R29:R107,0)+2)/4</f>
        <v>5</v>
      </c>
      <c r="S17" s="21"/>
    </row>
    <row r="18" spans="2:19" x14ac:dyDescent="0.2">
      <c r="B18" s="2" t="s">
        <v>21</v>
      </c>
      <c r="C18" s="2"/>
      <c r="D18" s="5">
        <f t="shared" ref="D18:Q18" si="2">INDEX(D29:D107,4*D17-3,1)</f>
        <v>0.22223501452771374</v>
      </c>
      <c r="E18" s="5">
        <f t="shared" si="2"/>
        <v>0.22232139050606797</v>
      </c>
      <c r="F18" s="5">
        <f t="shared" si="2"/>
        <v>0.2223930361377397</v>
      </c>
      <c r="G18" s="5">
        <f t="shared" si="2"/>
        <v>0.22466542891832181</v>
      </c>
      <c r="H18" s="5">
        <f t="shared" si="2"/>
        <v>0.22263914472440335</v>
      </c>
      <c r="I18" s="5">
        <f t="shared" si="2"/>
        <v>0.22282909455255631</v>
      </c>
      <c r="J18" s="5">
        <f t="shared" si="2"/>
        <v>0.22316209387784955</v>
      </c>
      <c r="K18" s="5">
        <f t="shared" si="2"/>
        <v>0.22174050404617987</v>
      </c>
      <c r="L18" s="5">
        <f t="shared" si="2"/>
        <v>0.22315722111951328</v>
      </c>
      <c r="M18" s="5">
        <f t="shared" si="2"/>
        <v>0.22180278728749259</v>
      </c>
      <c r="N18" s="5">
        <f t="shared" si="2"/>
        <v>0.2219143072260884</v>
      </c>
      <c r="O18" s="5">
        <f t="shared" si="2"/>
        <v>0.22318165896968936</v>
      </c>
      <c r="P18" s="5">
        <f t="shared" si="2"/>
        <v>0.22445551938209296</v>
      </c>
      <c r="Q18" s="5">
        <f t="shared" si="2"/>
        <v>0.224118449977669</v>
      </c>
      <c r="R18" s="5">
        <f t="shared" ref="R18" si="3">INDEX(R29:R107,4*R17-3,1)</f>
        <v>0.22270641221642257</v>
      </c>
      <c r="S18" s="5"/>
    </row>
    <row r="19" spans="2:19" x14ac:dyDescent="0.2">
      <c r="B19" s="2" t="s">
        <v>20</v>
      </c>
      <c r="C19" s="2"/>
      <c r="D19" s="2">
        <f>VLOOKUP(D17,Lähteandmed!$A24:$G81,3)</f>
        <v>-5</v>
      </c>
      <c r="E19" s="2">
        <f>VLOOKUP(E17,Lähteandmed!$A24:$G81,3)</f>
        <v>-5</v>
      </c>
      <c r="F19" s="2">
        <f>VLOOKUP(F17,Lähteandmed!$A24:$G81,3)</f>
        <v>-5</v>
      </c>
      <c r="G19" s="2">
        <f>VLOOKUP(G17,Lähteandmed!$A24:$G81,3)</f>
        <v>-5</v>
      </c>
      <c r="H19" s="2">
        <f>VLOOKUP(H17,Lähteandmed!$A24:$G81,3)</f>
        <v>-5</v>
      </c>
      <c r="I19" s="2">
        <f>VLOOKUP(I17,Lähteandmed!$A24:$G81,3)</f>
        <v>-5</v>
      </c>
      <c r="J19" s="2">
        <f>VLOOKUP(J17,Lähteandmed!$A24:$G81,3)</f>
        <v>-5</v>
      </c>
      <c r="K19" s="2">
        <f>VLOOKUP(K17,Lähteandmed!$A24:$G81,3)</f>
        <v>-5</v>
      </c>
      <c r="L19" s="2">
        <f>VLOOKUP(L17,Lähteandmed!$A24:$G81,3)</f>
        <v>-5</v>
      </c>
      <c r="M19" s="2">
        <f>VLOOKUP(M17,Lähteandmed!$A24:$G81,3)</f>
        <v>-5</v>
      </c>
      <c r="N19" s="2">
        <f>VLOOKUP(N17,Lähteandmed!$A24:$G81,3)</f>
        <v>-5</v>
      </c>
      <c r="O19" s="2">
        <f>VLOOKUP(O17,Lähteandmed!$A24:$G81,3)</f>
        <v>-5</v>
      </c>
      <c r="P19" s="2">
        <f>VLOOKUP(P17,Lähteandmed!$A24:$G81,3)</f>
        <v>-5</v>
      </c>
      <c r="Q19" s="2">
        <f>VLOOKUP(Q17,Lähteandmed!$A24:$G81,3)</f>
        <v>-5</v>
      </c>
      <c r="R19" s="2">
        <f>VLOOKUP(R17,Lähteandmed!$A24:$G81,3)</f>
        <v>-5</v>
      </c>
      <c r="S19" s="2"/>
    </row>
    <row r="20" spans="2:19" ht="13.5" thickBot="1" x14ac:dyDescent="0.25">
      <c r="B20" s="23" t="s">
        <v>22</v>
      </c>
      <c r="C20" s="23"/>
      <c r="D20" s="24">
        <f t="shared" ref="D20:Q20" si="4">MAX(D30,D34,D38,D42,D46,D50,D54,D58,D62,D66,D70,D74,D78,D82,D86,D90,D94,D98,D102,D106)</f>
        <v>350.29011964797974</v>
      </c>
      <c r="E20" s="24">
        <f t="shared" si="4"/>
        <v>349.45052862167358</v>
      </c>
      <c r="F20" s="24">
        <f t="shared" si="4"/>
        <v>349.31308031082153</v>
      </c>
      <c r="G20" s="24">
        <f t="shared" si="4"/>
        <v>332.45760202407837</v>
      </c>
      <c r="H20" s="24">
        <f t="shared" si="4"/>
        <v>347.81700372695923</v>
      </c>
      <c r="I20" s="24">
        <f t="shared" si="4"/>
        <v>345.96377611160278</v>
      </c>
      <c r="J20" s="24">
        <f t="shared" si="4"/>
        <v>344.96992826461792</v>
      </c>
      <c r="K20" s="24">
        <f t="shared" si="4"/>
        <v>340.1598334312439</v>
      </c>
      <c r="L20" s="24">
        <f t="shared" si="4"/>
        <v>336.85892820358276</v>
      </c>
      <c r="M20" s="24">
        <f t="shared" si="4"/>
        <v>353.82038354873657</v>
      </c>
      <c r="N20" s="24">
        <f t="shared" si="4"/>
        <v>353.01357507705688</v>
      </c>
      <c r="O20" s="24">
        <f t="shared" si="4"/>
        <v>344.14297342300415</v>
      </c>
      <c r="P20" s="24">
        <f t="shared" si="4"/>
        <v>334.54734086990356</v>
      </c>
      <c r="Q20" s="24">
        <f t="shared" si="4"/>
        <v>338.07998895645142</v>
      </c>
      <c r="R20" s="24">
        <f t="shared" ref="R20" si="5">MAX(R30,R34,R38,R42,R46,R50,R54,R58,R62,R66,R70,R74,R78,R82,R86,R90,R94,R98,R102,R106)</f>
        <v>348.06317090988159</v>
      </c>
      <c r="S20" s="24"/>
    </row>
    <row r="21" spans="2:19" ht="13.5" thickTop="1" x14ac:dyDescent="0.2">
      <c r="B21" s="1" t="s">
        <v>42</v>
      </c>
      <c r="C21" s="1"/>
    </row>
    <row r="22" spans="2:19" x14ac:dyDescent="0.2">
      <c r="B22" s="2" t="s">
        <v>10</v>
      </c>
      <c r="C22" s="2"/>
      <c r="D22" s="21">
        <f t="shared" ref="D22:Q22" si="6">(MATCH(D25,D29:D107,0)+1)/4</f>
        <v>4</v>
      </c>
      <c r="E22" s="21">
        <f t="shared" si="6"/>
        <v>4</v>
      </c>
      <c r="F22" s="21">
        <f t="shared" si="6"/>
        <v>4</v>
      </c>
      <c r="G22" s="21">
        <f t="shared" si="6"/>
        <v>4</v>
      </c>
      <c r="H22" s="21">
        <f t="shared" si="6"/>
        <v>4</v>
      </c>
      <c r="I22" s="21">
        <f t="shared" si="6"/>
        <v>4</v>
      </c>
      <c r="J22" s="21">
        <f t="shared" si="6"/>
        <v>4</v>
      </c>
      <c r="K22" s="21">
        <f t="shared" si="6"/>
        <v>4</v>
      </c>
      <c r="L22" s="21">
        <f t="shared" si="6"/>
        <v>4</v>
      </c>
      <c r="M22" s="21">
        <f t="shared" si="6"/>
        <v>4</v>
      </c>
      <c r="N22" s="21">
        <f t="shared" si="6"/>
        <v>4</v>
      </c>
      <c r="O22" s="21">
        <f t="shared" si="6"/>
        <v>4</v>
      </c>
      <c r="P22" s="21">
        <f t="shared" si="6"/>
        <v>4</v>
      </c>
      <c r="Q22" s="21">
        <f t="shared" si="6"/>
        <v>4</v>
      </c>
      <c r="R22" s="21">
        <f t="shared" ref="R22" si="7">(MATCH(R25,R29:R107,0)+1)/4</f>
        <v>4</v>
      </c>
      <c r="S22" s="21"/>
    </row>
    <row r="23" spans="2:19" x14ac:dyDescent="0.2">
      <c r="B23" s="2" t="s">
        <v>21</v>
      </c>
      <c r="C23" s="2"/>
      <c r="D23" s="5">
        <f t="shared" ref="D23:Q23" si="8">INDEX(D29:D107,4*D22-3,1)</f>
        <v>0.16531951056913394</v>
      </c>
      <c r="E23" s="5">
        <f t="shared" si="8"/>
        <v>0.16531951056913394</v>
      </c>
      <c r="F23" s="5">
        <f t="shared" si="8"/>
        <v>0.16531951056913394</v>
      </c>
      <c r="G23" s="5">
        <f t="shared" si="8"/>
        <v>0.16531951056913394</v>
      </c>
      <c r="H23" s="5">
        <f t="shared" si="8"/>
        <v>0.16531951056913394</v>
      </c>
      <c r="I23" s="5">
        <f t="shared" si="8"/>
        <v>0.16531951056913394</v>
      </c>
      <c r="J23" s="5">
        <f t="shared" si="8"/>
        <v>0.16531951056913394</v>
      </c>
      <c r="K23" s="5">
        <f t="shared" si="8"/>
        <v>0.16531951056913394</v>
      </c>
      <c r="L23" s="5">
        <f t="shared" si="8"/>
        <v>0.16531951056913394</v>
      </c>
      <c r="M23" s="5">
        <f t="shared" si="8"/>
        <v>0.16531951056913394</v>
      </c>
      <c r="N23" s="5">
        <f t="shared" si="8"/>
        <v>0.16531951056913394</v>
      </c>
      <c r="O23" s="5">
        <f t="shared" si="8"/>
        <v>0.16531951056913394</v>
      </c>
      <c r="P23" s="5">
        <f t="shared" si="8"/>
        <v>0.16531951056913394</v>
      </c>
      <c r="Q23" s="5">
        <f t="shared" si="8"/>
        <v>0.16531951056913394</v>
      </c>
      <c r="R23" s="5">
        <f t="shared" ref="R23" si="9">INDEX(R29:R107,4*R22-3,1)</f>
        <v>0.16531951056913394</v>
      </c>
      <c r="S23" s="5"/>
    </row>
    <row r="24" spans="2:19" x14ac:dyDescent="0.2">
      <c r="B24" s="2" t="s">
        <v>20</v>
      </c>
      <c r="C24" s="2"/>
      <c r="D24" s="2">
        <f>VLOOKUP(D22,Lähteandmed!$A29:$G86,3)</f>
        <v>-5</v>
      </c>
      <c r="E24" s="2">
        <f>VLOOKUP(E22,Lähteandmed!$A29:$G86,3)</f>
        <v>-5</v>
      </c>
      <c r="F24" s="2">
        <f>VLOOKUP(F22,Lähteandmed!$A29:$G86,3)</f>
        <v>-5</v>
      </c>
      <c r="G24" s="2">
        <f>VLOOKUP(G22,Lähteandmed!$A29:$G86,3)</f>
        <v>-5</v>
      </c>
      <c r="H24" s="2">
        <f>VLOOKUP(H22,Lähteandmed!$A29:$G86,3)</f>
        <v>-5</v>
      </c>
      <c r="I24" s="2">
        <f>VLOOKUP(I22,Lähteandmed!$A29:$G86,3)</f>
        <v>-5</v>
      </c>
      <c r="J24" s="2">
        <f>VLOOKUP(J22,Lähteandmed!$A29:$G86,3)</f>
        <v>-5</v>
      </c>
      <c r="K24" s="2">
        <f>VLOOKUP(K22,Lähteandmed!$A29:$G86,3)</f>
        <v>-5</v>
      </c>
      <c r="L24" s="2">
        <f>VLOOKUP(L22,Lähteandmed!$A29:$G86,3)</f>
        <v>-5</v>
      </c>
      <c r="M24" s="2">
        <f>VLOOKUP(M22,Lähteandmed!$A29:$G86,3)</f>
        <v>-5</v>
      </c>
      <c r="N24" s="2">
        <f>VLOOKUP(N22,Lähteandmed!$A29:$G86,3)</f>
        <v>-5</v>
      </c>
      <c r="O24" s="2">
        <f>VLOOKUP(O22,Lähteandmed!$A29:$G86,3)</f>
        <v>-5</v>
      </c>
      <c r="P24" s="2">
        <f>VLOOKUP(P22,Lähteandmed!$A29:$G86,3)</f>
        <v>-5</v>
      </c>
      <c r="Q24" s="2">
        <f>VLOOKUP(Q22,Lähteandmed!$A29:$G86,3)</f>
        <v>-5</v>
      </c>
      <c r="R24" s="2">
        <f>VLOOKUP(R22,Lähteandmed!$A29:$G86,3)</f>
        <v>-5</v>
      </c>
      <c r="S24" s="2"/>
    </row>
    <row r="25" spans="2:19" x14ac:dyDescent="0.2">
      <c r="B25" s="52" t="s">
        <v>43</v>
      </c>
      <c r="C25" s="52"/>
      <c r="D25" s="53">
        <f t="shared" ref="D25:Q25" si="10">MAX(D31,D35,D39,D43,D47,D51,D55,D59,D63,D67,D71,D75,D79,D83,D87,D91,D95,D99,D103,D107)</f>
        <v>14.655320010524608</v>
      </c>
      <c r="E25" s="53">
        <f t="shared" si="10"/>
        <v>14.439294717812562</v>
      </c>
      <c r="F25" s="53">
        <f t="shared" si="10"/>
        <v>14.235431825883785</v>
      </c>
      <c r="G25" s="53">
        <f t="shared" si="10"/>
        <v>9.4852322462288932</v>
      </c>
      <c r="H25" s="53">
        <f t="shared" si="10"/>
        <v>13.60451248134901</v>
      </c>
      <c r="I25" s="53">
        <f t="shared" si="10"/>
        <v>13.168897430605391</v>
      </c>
      <c r="J25" s="53">
        <f t="shared" si="10"/>
        <v>12.342313714827094</v>
      </c>
      <c r="K25" s="53">
        <f t="shared" si="10"/>
        <v>16.786410869440278</v>
      </c>
      <c r="L25" s="53">
        <f t="shared" si="10"/>
        <v>12.713129543725026</v>
      </c>
      <c r="M25" s="53">
        <f t="shared" si="10"/>
        <v>15.823927891480476</v>
      </c>
      <c r="N25" s="53">
        <f t="shared" si="10"/>
        <v>15.508069214964694</v>
      </c>
      <c r="O25" s="53">
        <f t="shared" si="10"/>
        <v>12.328521181939278</v>
      </c>
      <c r="P25" s="53">
        <f t="shared" si="10"/>
        <v>9.8265196486936386</v>
      </c>
      <c r="Q25" s="53">
        <f t="shared" si="10"/>
        <v>10.39537712910888</v>
      </c>
      <c r="R25" s="53">
        <f t="shared" ref="R25" si="11">MAX(R31,R35,R39,R43,R47,R51,R55,R59,R63,R67,R71,R75,R79,R83,R87,R91,R95,R99,R103,R107)</f>
        <v>13.406774963783183</v>
      </c>
      <c r="S25" s="53"/>
    </row>
    <row r="26" spans="2:19" ht="13.5" thickBot="1" x14ac:dyDescent="0.25">
      <c r="B26" s="54" t="s">
        <v>49</v>
      </c>
      <c r="C26" s="54"/>
      <c r="D26" s="55">
        <f t="shared" ref="D26:Q26" si="12">D25/D4^2*1000000</f>
        <v>73.279551806863424</v>
      </c>
      <c r="E26" s="55">
        <f t="shared" si="12"/>
        <v>73.434827883423665</v>
      </c>
      <c r="F26" s="55">
        <f t="shared" si="12"/>
        <v>73.423661602634425</v>
      </c>
      <c r="G26" s="55">
        <f t="shared" si="12"/>
        <v>76.216443669889586</v>
      </c>
      <c r="H26" s="55">
        <f t="shared" si="12"/>
        <v>73.640344745652129</v>
      </c>
      <c r="I26" s="55">
        <f t="shared" si="12"/>
        <v>73.985346389578552</v>
      </c>
      <c r="J26" s="55">
        <f t="shared" si="12"/>
        <v>74.009636880965871</v>
      </c>
      <c r="K26" s="55">
        <f t="shared" si="12"/>
        <v>76.153664331628406</v>
      </c>
      <c r="L26" s="55">
        <f t="shared" si="12"/>
        <v>76.160623552290915</v>
      </c>
      <c r="M26" s="55">
        <f t="shared" si="12"/>
        <v>72.673427765237534</v>
      </c>
      <c r="N26" s="55">
        <f t="shared" si="12"/>
        <v>72.803968461233069</v>
      </c>
      <c r="O26" s="55">
        <f t="shared" si="12"/>
        <v>74.210190964143536</v>
      </c>
      <c r="P26" s="55">
        <f t="shared" si="12"/>
        <v>75.807715291326147</v>
      </c>
      <c r="Q26" s="55">
        <f t="shared" si="12"/>
        <v>75.112336384639221</v>
      </c>
      <c r="R26" s="55">
        <f t="shared" ref="R26" si="13">R25/R4^2*1000000</f>
        <v>73.533137986473974</v>
      </c>
      <c r="S26" s="55"/>
    </row>
    <row r="27" spans="2:19" ht="13.5" thickTop="1" x14ac:dyDescent="0.2">
      <c r="B27" s="5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2:19" x14ac:dyDescent="0.2">
      <c r="B28" s="1" t="s">
        <v>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19" ht="38.25" x14ac:dyDescent="0.2">
      <c r="B29" s="173" t="str">
        <f>Lähteandmed!B24</f>
        <v>Tuule piirkiirus</v>
      </c>
      <c r="C29" s="147" t="s">
        <v>222</v>
      </c>
      <c r="D29" s="6">
        <f>SQRT((kaalutegur R_1*[1]!juhe(D5,6)+jaitetegur R_1*[1]!Jaitekoormus_EN(D$5,JaideJ,hj))^2+(tuuletegur R_1*[1]!Tuulekoormus_en(D$5,Qt,ht,zo,D$4,JaideJ,jaitetegur R_1))^2)</f>
        <v>0.15570292791027465</v>
      </c>
      <c r="E29" s="6">
        <f>SQRT((kaalutegur R_1*[1]!juhe(E5,6)+jaitetegur R_1*[1]!Jaitekoormus_EN(E$5,JaideJ,hj))^2+(tuuletegur R_1*[1]!Tuulekoormus_en(E$5,Qt,ht,zo,E$4,JaideJ,jaitetegur R_1))^2)</f>
        <v>0.15581657579079294</v>
      </c>
      <c r="F29" s="6">
        <f>SQRT((kaalutegur R_1*[1]!juhe(F5,6)+jaitetegur R_1*[1]!Jaitekoormus_EN(F$5,JaideJ,hj))^2+(tuuletegur R_1*[1]!Tuulekoormus_en(F$5,Qt,ht,zo,F$4,JaideJ,jaitetegur R_1))^2)</f>
        <v>0.15591081306250848</v>
      </c>
      <c r="G29" s="6">
        <f>SQRT((kaalutegur R_1*[1]!juhe(G5,6)+jaitetegur R_1*[1]!Jaitekoormus_EN(G$5,JaideJ,hj))^2+(tuuletegur R_1*[1]!Tuulekoormus_en(G$5,Qt,ht,zo,G$4,JaideJ,jaitetegur R_1))^2)</f>
        <v>0.15888620271629525</v>
      </c>
      <c r="H29" s="6">
        <f>SQRT((kaalutegur R_1*[1]!juhe(H5,6)+jaitetegur R_1*[1]!Jaitekoormus_EN(H$5,JaideJ,hj))^2+(tuuletegur R_1*[1]!Tuulekoormus_en(H$5,Qt,ht,zo,H$4,JaideJ,jaitetegur R_1))^2)</f>
        <v>0.15623432353341352</v>
      </c>
      <c r="I29" s="6">
        <f>SQRT((kaalutegur R_1*[1]!juhe(I5,6)+jaitetegur R_1*[1]!Jaitekoormus_EN(I$5,JaideJ,hj))^2+(tuuletegur R_1*[1]!Tuulekoormus_en(I$5,Qt,ht,zo,I$4,JaideJ,jaitetegur R_1))^2)</f>
        <v>0.15648379985435654</v>
      </c>
      <c r="J29" s="6">
        <f>SQRT((kaalutegur R_1*[1]!juhe(J5,6)+jaitetegur R_1*[1]!Jaitekoormus_EN(J$5,JaideJ,hj))^2+(tuuletegur R_1*[1]!Tuulekoormus_en(J$5,Qt,ht,zo,J$4,JaideJ,jaitetegur R_1))^2)</f>
        <v>0.15692070898754926</v>
      </c>
      <c r="K29" s="6">
        <f>SQRT((kaalutegur R_1*[1]!juhe(K5,6)+jaitetegur R_1*[1]!Jaitekoormus_EN(K$5,JaideJ,hj))^2+(tuuletegur R_1*[1]!Tuulekoormus_en(K$5,Qt,ht,zo,K$4,JaideJ,jaitetegur R_1))^2)</f>
        <v>0.15505153371612909</v>
      </c>
      <c r="L29" s="6">
        <f>SQRT((kaalutegur R_1*[1]!juhe(L5,6)+jaitetegur R_1*[1]!Jaitekoormus_EN(L$5,JaideJ,hj))^2+(tuuletegur R_1*[1]!Tuulekoormus_en(L$5,Qt,ht,zo,L$4,JaideJ,jaitetegur R_1))^2)</f>
        <v>0.15691431979655523</v>
      </c>
      <c r="M29" s="6">
        <f>SQRT((kaalutegur R_1*[1]!juhe(M5,6)+jaitetegur R_1*[1]!Jaitekoormus_EN(M$5,JaideJ,hj))^2+(tuuletegur R_1*[1]!Tuulekoormus_en(M$5,Qt,ht,zo,M$4,JaideJ,jaitetegur R_1))^2)</f>
        <v>0.15513364690289788</v>
      </c>
      <c r="N29" s="6">
        <f>SQRT((kaalutegur R_1*[1]!juhe(N5,6)+jaitetegur R_1*[1]!Jaitekoormus_EN(N$5,JaideJ,hj))^2+(tuuletegur R_1*[1]!Tuulekoormus_en(N$5,Qt,ht,zo,N$4,JaideJ,jaitetegur R_1))^2)</f>
        <v>0.15528062199380024</v>
      </c>
      <c r="O29" s="6">
        <f>SQRT((kaalutegur R_1*[1]!juhe(O5,6)+jaitetegur R_1*[1]!Jaitekoormus_EN(O$5,JaideJ,hj))^2+(tuuletegur R_1*[1]!Tuulekoormus_en(O$5,Qt,ht,zo,O$4,JaideJ,jaitetegur R_1))^2)</f>
        <v>0.15694636164306228</v>
      </c>
      <c r="P29" s="6">
        <f>SQRT((kaalutegur R_1*[1]!juhe(P5,6)+jaitetegur R_1*[1]!Jaitekoormus_EN(P$5,JaideJ,hj))^2+(tuuletegur R_1*[1]!Tuulekoormus_en(P$5,Qt,ht,zo,P$4,JaideJ,jaitetegur R_1))^2)</f>
        <v>0.15861243619012405</v>
      </c>
      <c r="Q29" s="6">
        <f>SQRT((kaalutegur R_1*[1]!juhe(Q5,6)+jaitetegur R_1*[1]!Jaitekoormus_EN(Q$5,JaideJ,hj))^2+(tuuletegur R_1*[1]!Tuulekoormus_en(Q$5,Qt,ht,zo,Q$4,JaideJ,jaitetegur R_1))^2)</f>
        <v>0.15817237224615255</v>
      </c>
      <c r="R29" s="6">
        <f>SQRT((kaalutegur R_1*[1]!juhe(R5,6)+jaitetegur R_1*[1]!Jaitekoormus_EN(R$5,JaideJ,hj))^2+(tuuletegur R_1*[1]!Tuulekoormus_en(R$5,Qt,ht,zo,R$4,JaideJ,jaitetegur R_1))^2)</f>
        <v>0.15632269251284103</v>
      </c>
      <c r="S29" s="6"/>
    </row>
    <row r="30" spans="2:19" x14ac:dyDescent="0.2">
      <c r="B30" s="173"/>
      <c r="C30" s="147" t="s">
        <v>104</v>
      </c>
      <c r="D30" s="3">
        <f>[1]!Olekuvorrand(D$4,D$5,D$8,5,D$11,Lähteandmed!$C24,D29)</f>
        <v>269.76639032363892</v>
      </c>
      <c r="E30" s="3">
        <f>[1]!Olekuvorrand(E$4,E$5,E$8,5,E$11,Lähteandmed!$C24,E29)</f>
        <v>269.3750262260437</v>
      </c>
      <c r="F30" s="3">
        <f>[1]!Olekuvorrand(F$4,F$5,F$8,5,F$11,Lähteandmed!$C24,F29)</f>
        <v>269.58161592483521</v>
      </c>
      <c r="G30" s="3">
        <f>[1]!Olekuvorrand(G$4,G$5,G$8,5,G$11,Lähteandmed!$C24,G29)</f>
        <v>264.07712697982788</v>
      </c>
      <c r="H30" s="3">
        <f>[1]!Olekuvorrand(H$4,H$5,H$8,5,H$11,Lähteandmed!$C24,H29)</f>
        <v>269.31887865066528</v>
      </c>
      <c r="I30" s="3">
        <f>[1]!Olekuvorrand(I$4,I$5,I$8,5,I$11,Lähteandmed!$C24,I29)</f>
        <v>268.4440016746521</v>
      </c>
      <c r="J30" s="3">
        <f>[1]!Olekuvorrand(J$4,J$5,J$8,5,J$11,Lähteandmed!$C24,J29)</f>
        <v>269.08367872238159</v>
      </c>
      <c r="K30" s="3">
        <f>[1]!Olekuvorrand(K$4,K$5,K$8,5,K$11,Lähteandmed!$C24,K29)</f>
        <v>258.12619924545288</v>
      </c>
      <c r="L30" s="3">
        <f>[1]!Olekuvorrand(L$4,L$5,L$8,5,L$11,Lähteandmed!$C24,L29)</f>
        <v>261.23279333114624</v>
      </c>
      <c r="M30" s="3">
        <f>[1]!Olekuvorrand(M$4,M$5,M$8,5,M$11,Lähteandmed!$C24,M29)</f>
        <v>271.07876539230347</v>
      </c>
      <c r="N30" s="3">
        <f>[1]!Olekuvorrand(N$4,N$5,N$8,5,N$11,Lähteandmed!$C24,N29)</f>
        <v>270.8393931388855</v>
      </c>
      <c r="O30" s="3">
        <f>[1]!Olekuvorrand(O$4,O$5,O$8,5,O$11,Lähteandmed!$C24,O29)</f>
        <v>268.37509870529175</v>
      </c>
      <c r="P30" s="3">
        <f>[1]!Olekuvorrand(P$4,P$5,P$8,5,P$11,Lähteandmed!$C24,P29)</f>
        <v>265.13606309890747</v>
      </c>
      <c r="Q30" s="3">
        <f>[1]!Olekuvorrand(Q$4,Q$5,Q$8,5,Q$11,Lähteandmed!$C24,Q29)</f>
        <v>266.99334383010864</v>
      </c>
      <c r="R30" s="3">
        <f>[1]!Olekuvorrand(R$4,R$5,R$8,5,R$11,Lähteandmed!$C24,R29)</f>
        <v>269.87630128860474</v>
      </c>
      <c r="S30" s="3"/>
    </row>
    <row r="31" spans="2:19" ht="12.75" customHeight="1" x14ac:dyDescent="0.2">
      <c r="B31" s="173"/>
      <c r="C31" s="147" t="s">
        <v>105</v>
      </c>
      <c r="D31" s="3">
        <f>[1]!ripe(D30,D$11+Lähteandmed!$E24*$D$13,D$4,0)</f>
        <v>5.7918151311451336</v>
      </c>
      <c r="E31" s="3">
        <f>[1]!ripe(E30,E$11+Lähteandmed!$E24*$D$13,E$4,0)</f>
        <v>5.7026484565877533</v>
      </c>
      <c r="F31" s="3">
        <f>[1]!ripe(F30,F$11+Lähteandmed!$E24*$D$13,F$4,0)</f>
        <v>5.6186808629755713</v>
      </c>
      <c r="G31" s="3">
        <f>[1]!ripe(G30,G$11+Lähteandmed!$E24*$D$13,G$4,0)</f>
        <v>3.6817859208216484</v>
      </c>
      <c r="H31" s="3">
        <f>[1]!ripe(H30,H$11+Lähteandmed!$E24*$D$13,H$4,0)</f>
        <v>5.3590820118123617</v>
      </c>
      <c r="I31" s="3">
        <f>[1]!ripe(I30,I$11+Lähteandmed!$E24*$D$13,I$4,0)</f>
        <v>5.180122496076069</v>
      </c>
      <c r="J31" s="3">
        <f>[1]!ripe(J30,J$11+Lähteandmed!$E24*$D$13,J$4,0)</f>
        <v>4.8418461052278321</v>
      </c>
      <c r="K31" s="3">
        <f>[1]!ripe(K30,K$11+Lähteandmed!$E24*$D$13,K$4,0)</f>
        <v>6.6715229922010195</v>
      </c>
      <c r="L31" s="3">
        <f>[1]!ripe(L30,L$11+Lähteandmed!$E24*$D$13,L$4,0)</f>
        <v>4.9921119650528869</v>
      </c>
      <c r="M31" s="3">
        <f>[1]!ripe(M30,M$11+Lähteandmed!$E24*$D$13,M$4,0)</f>
        <v>6.27528105539026</v>
      </c>
      <c r="N31" s="3">
        <f>[1]!ripe(N30,N$11+Lähteandmed!$E24*$D$13,N$4,0)</f>
        <v>6.1444197458560081</v>
      </c>
      <c r="O31" s="3">
        <f>[1]!ripe(O30,O$11+Lähteandmed!$E24*$D$13,O$4,0)</f>
        <v>4.8360997456215147</v>
      </c>
      <c r="P31" s="3">
        <f>[1]!ripe(P30,P$11+Lähteandmed!$E24*$D$13,P$4,0)</f>
        <v>3.8195090723701823</v>
      </c>
      <c r="Q31" s="3">
        <f>[1]!ripe(Q30,Q$11+Lähteandmed!$E24*$D$13,Q$4,0)</f>
        <v>4.0496601116684969</v>
      </c>
      <c r="R31" s="3">
        <f>[1]!ripe(R30,R$11+Lähteandmed!$E24*$D$13,R$4,0)</f>
        <v>5.277964939669137</v>
      </c>
      <c r="S31" s="3"/>
    </row>
    <row r="32" spans="2:19" x14ac:dyDescent="0.2">
      <c r="B32" s="173"/>
      <c r="C32" s="147" t="s">
        <v>49</v>
      </c>
      <c r="D32" s="50">
        <f t="shared" ref="D32:Q32" si="14">D31/D$4^2*1000000</f>
        <v>28.960242195580179</v>
      </c>
      <c r="E32" s="50">
        <f t="shared" si="14"/>
        <v>29.002317361982211</v>
      </c>
      <c r="F32" s="50">
        <f t="shared" si="14"/>
        <v>28.980091884968459</v>
      </c>
      <c r="G32" s="50">
        <f t="shared" si="14"/>
        <v>29.584160087430725</v>
      </c>
      <c r="H32" s="50">
        <f t="shared" si="14"/>
        <v>29.00836376247366</v>
      </c>
      <c r="I32" s="50">
        <f t="shared" si="14"/>
        <v>29.102903962326447</v>
      </c>
      <c r="J32" s="50">
        <f t="shared" si="14"/>
        <v>29.033719313984459</v>
      </c>
      <c r="K32" s="50">
        <f t="shared" si="14"/>
        <v>30.266203209272348</v>
      </c>
      <c r="L32" s="50">
        <f t="shared" si="14"/>
        <v>29.906275932580364</v>
      </c>
      <c r="M32" s="50">
        <f t="shared" si="14"/>
        <v>28.82003682100957</v>
      </c>
      <c r="N32" s="50">
        <f t="shared" si="14"/>
        <v>28.845508437518085</v>
      </c>
      <c r="O32" s="50">
        <f t="shared" si="14"/>
        <v>29.110375879466627</v>
      </c>
      <c r="P32" s="50">
        <f t="shared" si="14"/>
        <v>29.466002884283576</v>
      </c>
      <c r="Q32" s="50">
        <f t="shared" si="14"/>
        <v>29.261029087568552</v>
      </c>
      <c r="R32" s="50">
        <f>R31/R$4^2*1000000</f>
        <v>28.948447724742383</v>
      </c>
      <c r="S32" s="50"/>
    </row>
    <row r="33" spans="2:19" ht="38.25" x14ac:dyDescent="0.2">
      <c r="B33" s="174" t="str">
        <f>Lähteandmed!B27</f>
        <v>Miinimumtemperatuur</v>
      </c>
      <c r="C33" s="148" t="s">
        <v>222</v>
      </c>
      <c r="D33" s="9">
        <f>SQRT((kaalutegur R_2*[1]!juhe(D5,6)+jaitetegur R_2*[1]!Jaitekoormus_EN(D$5,JaideJ,hj))^2+(tuuletegur R_2*[1]!Tuulekoormus_en(D$5,Qt,ht,zo,D$4,JaideJ,jaitetegur R_2))^2)</f>
        <v>6.25E-2</v>
      </c>
      <c r="E33" s="9">
        <f>SQRT((kaalutegur R_2*[1]!juhe(E5,6)+jaitetegur R_2*[1]!Jaitekoormus_EN(E$5,JaideJ,hj))^2+(tuuletegur R_2*[1]!Tuulekoormus_en(E$5,Qt,ht,zo,E$4,JaideJ,jaitetegur R_2))^2)</f>
        <v>6.25E-2</v>
      </c>
      <c r="F33" s="9">
        <f>SQRT((kaalutegur R_2*[1]!juhe(F5,6)+jaitetegur R_2*[1]!Jaitekoormus_EN(F$5,JaideJ,hj))^2+(tuuletegur R_2*[1]!Tuulekoormus_en(F$5,Qt,ht,zo,F$4,JaideJ,jaitetegur R_2))^2)</f>
        <v>6.25E-2</v>
      </c>
      <c r="G33" s="9">
        <f>SQRT((kaalutegur R_2*[1]!juhe(G5,6)+jaitetegur R_2*[1]!Jaitekoormus_EN(G$5,JaideJ,hj))^2+(tuuletegur R_2*[1]!Tuulekoormus_en(G$5,Qt,ht,zo,G$4,JaideJ,jaitetegur R_2))^2)</f>
        <v>6.25E-2</v>
      </c>
      <c r="H33" s="9">
        <f>SQRT((kaalutegur R_2*[1]!juhe(H5,6)+jaitetegur R_2*[1]!Jaitekoormus_EN(H$5,JaideJ,hj))^2+(tuuletegur R_2*[1]!Tuulekoormus_en(H$5,Qt,ht,zo,H$4,JaideJ,jaitetegur R_2))^2)</f>
        <v>6.25E-2</v>
      </c>
      <c r="I33" s="9">
        <f>SQRT((kaalutegur R_2*[1]!juhe(I5,6)+jaitetegur R_2*[1]!Jaitekoormus_EN(I$5,JaideJ,hj))^2+(tuuletegur R_2*[1]!Tuulekoormus_en(I$5,Qt,ht,zo,I$4,JaideJ,jaitetegur R_2))^2)</f>
        <v>6.25E-2</v>
      </c>
      <c r="J33" s="9">
        <f>SQRT((kaalutegur R_2*[1]!juhe(J5,6)+jaitetegur R_2*[1]!Jaitekoormus_EN(J$5,JaideJ,hj))^2+(tuuletegur R_2*[1]!Tuulekoormus_en(J$5,Qt,ht,zo,J$4,JaideJ,jaitetegur R_2))^2)</f>
        <v>6.25E-2</v>
      </c>
      <c r="K33" s="9">
        <f>SQRT((kaalutegur R_2*[1]!juhe(K5,6)+jaitetegur R_2*[1]!Jaitekoormus_EN(K$5,JaideJ,hj))^2+(tuuletegur R_2*[1]!Tuulekoormus_en(K$5,Qt,ht,zo,K$4,JaideJ,jaitetegur R_2))^2)</f>
        <v>6.25E-2</v>
      </c>
      <c r="L33" s="9">
        <f>SQRT((kaalutegur R_2*[1]!juhe(L5,6)+jaitetegur R_2*[1]!Jaitekoormus_EN(L$5,JaideJ,hj))^2+(tuuletegur R_2*[1]!Tuulekoormus_en(L$5,Qt,ht,zo,L$4,JaideJ,jaitetegur R_2))^2)</f>
        <v>6.25E-2</v>
      </c>
      <c r="M33" s="9">
        <f>SQRT((kaalutegur R_2*[1]!juhe(M5,6)+jaitetegur R_2*[1]!Jaitekoormus_EN(M$5,JaideJ,hj))^2+(tuuletegur R_2*[1]!Tuulekoormus_en(M$5,Qt,ht,zo,M$4,JaideJ,jaitetegur R_2))^2)</f>
        <v>6.25E-2</v>
      </c>
      <c r="N33" s="9">
        <f>SQRT((kaalutegur R_2*[1]!juhe(N5,6)+jaitetegur R_2*[1]!Jaitekoormus_EN(N$5,JaideJ,hj))^2+(tuuletegur R_2*[1]!Tuulekoormus_en(N$5,Qt,ht,zo,N$4,JaideJ,jaitetegur R_2))^2)</f>
        <v>6.25E-2</v>
      </c>
      <c r="O33" s="9">
        <f>SQRT((kaalutegur R_2*[1]!juhe(O5,6)+jaitetegur R_2*[1]!Jaitekoormus_EN(O$5,JaideJ,hj))^2+(tuuletegur R_2*[1]!Tuulekoormus_en(O$5,Qt,ht,zo,O$4,JaideJ,jaitetegur R_2))^2)</f>
        <v>6.25E-2</v>
      </c>
      <c r="P33" s="9">
        <f>SQRT((kaalutegur R_2*[1]!juhe(P5,6)+jaitetegur R_2*[1]!Jaitekoormus_EN(P$5,JaideJ,hj))^2+(tuuletegur R_2*[1]!Tuulekoormus_en(P$5,Qt,ht,zo,P$4,JaideJ,jaitetegur R_2))^2)</f>
        <v>6.25E-2</v>
      </c>
      <c r="Q33" s="9">
        <f>SQRT((kaalutegur R_2*[1]!juhe(Q5,6)+jaitetegur R_2*[1]!Jaitekoormus_EN(Q$5,JaideJ,hj))^2+(tuuletegur R_2*[1]!Tuulekoormus_en(Q$5,Qt,ht,zo,Q$4,JaideJ,jaitetegur R_2))^2)</f>
        <v>6.25E-2</v>
      </c>
      <c r="R33" s="9">
        <f>SQRT((kaalutegur R_2*[1]!juhe(R5,6)+jaitetegur R_2*[1]!Jaitekoormus_EN(R$5,JaideJ,hj))^2+(tuuletegur R_2*[1]!Tuulekoormus_en(R$5,Qt,ht,zo,R$4,JaideJ,jaitetegur R_2))^2)</f>
        <v>6.25E-2</v>
      </c>
      <c r="S33" s="9"/>
    </row>
    <row r="34" spans="2:19" x14ac:dyDescent="0.2">
      <c r="B34" s="174"/>
      <c r="C34" s="148" t="s">
        <v>104</v>
      </c>
      <c r="D34" s="22">
        <f>[1]!Olekuvorrand(D$4,D$5,D$8,5,D$11,Lähteandmed!$C27,D33)</f>
        <v>135.75130701065063</v>
      </c>
      <c r="E34" s="22">
        <f>[1]!Olekuvorrand(E$4,E$5,E$8,5,E$11,Lähteandmed!$C27,E33)</f>
        <v>135.81973314285278</v>
      </c>
      <c r="F34" s="22">
        <f>[1]!Olekuvorrand(F$4,F$5,F$8,5,F$11,Lähteandmed!$C27,F33)</f>
        <v>136.32923364639282</v>
      </c>
      <c r="G34" s="22">
        <f>[1]!Olekuvorrand(G$4,G$5,G$8,5,G$11,Lähteandmed!$C27,G33)</f>
        <v>144.44941282272339</v>
      </c>
      <c r="H34" s="22">
        <f>[1]!Olekuvorrand(H$4,H$5,H$8,5,H$11,Lähteandmed!$C27,H33)</f>
        <v>137.29780912399292</v>
      </c>
      <c r="I34" s="22">
        <f>[1]!Olekuvorrand(I$4,I$5,I$8,5,I$11,Lähteandmed!$C27,I33)</f>
        <v>137.49295473098755</v>
      </c>
      <c r="J34" s="22">
        <f>[1]!Olekuvorrand(J$4,J$5,J$8,5,J$11,Lähteandmed!$C27,J33)</f>
        <v>139.85174894332886</v>
      </c>
      <c r="K34" s="22">
        <f>[1]!Olekuvorrand(K$4,K$5,K$8,5,K$11,Lähteandmed!$C27,K33)</f>
        <v>124.67032670974731</v>
      </c>
      <c r="L34" s="22">
        <f>[1]!Olekuvorrand(L$4,L$5,L$8,5,L$11,Lähteandmed!$C27,L33)</f>
        <v>132.82209634780884</v>
      </c>
      <c r="M34" s="22">
        <f>[1]!Olekuvorrand(M$4,M$5,M$8,5,M$11,Lähteandmed!$C27,M33)</f>
        <v>134.93651151657104</v>
      </c>
      <c r="N34" s="22">
        <f>[1]!Olekuvorrand(N$4,N$5,N$8,5,N$11,Lähteandmed!$C27,N33)</f>
        <v>135.21629571914673</v>
      </c>
      <c r="O34" s="22">
        <f>[1]!Olekuvorrand(O$4,O$5,O$8,5,O$11,Lähteandmed!$C27,O33)</f>
        <v>139.31292295455933</v>
      </c>
      <c r="P34" s="22">
        <f>[1]!Olekuvorrand(P$4,P$5,P$8,5,P$11,Lähteandmed!$C27,P33)</f>
        <v>144.08153295516968</v>
      </c>
      <c r="Q34" s="22">
        <f>[1]!Olekuvorrand(Q$4,Q$5,Q$8,5,Q$11,Lähteandmed!$C27,Q33)</f>
        <v>143.68623495101929</v>
      </c>
      <c r="R34" s="22">
        <f>[1]!Olekuvorrand(R$4,R$5,R$8,5,R$11,Lähteandmed!$C27,R33)</f>
        <v>138.12404870986938</v>
      </c>
      <c r="S34" s="22"/>
    </row>
    <row r="35" spans="2:19" x14ac:dyDescent="0.2">
      <c r="B35" s="174"/>
      <c r="C35" s="148" t="s">
        <v>105</v>
      </c>
      <c r="D35" s="9">
        <f>[1]!ripe(D34,D$11+Lähteandmed!$E27*$D$13,D$4,0)</f>
        <v>11.509554462177459</v>
      </c>
      <c r="E35" s="9">
        <f>[1]!ripe(E34,E$11+Lähteandmed!$E27*$D$13,E$4,0)</f>
        <v>11.31022011312257</v>
      </c>
      <c r="F35" s="9">
        <f>[1]!ripe(F34,F$11+Lähteandmed!$E27*$D$13,F$4,0)</f>
        <v>11.110552197012073</v>
      </c>
      <c r="G35" s="9">
        <f>[1]!ripe(G34,G$11+Lähteandmed!$E27*$D$13,G$4,0)</f>
        <v>6.730906198411434</v>
      </c>
      <c r="H35" s="9">
        <f>[1]!ripe(H34,H$11+Lähteandmed!$E27*$D$13,H$4,0)</f>
        <v>10.512199482475486</v>
      </c>
      <c r="I35" s="9">
        <f>[1]!ripe(I34,I$11+Lähteandmed!$E27*$D$13,I$4,0)</f>
        <v>10.113775027471616</v>
      </c>
      <c r="J35" s="9">
        <f>[1]!ripe(J34,J$11+Lähteandmed!$E27*$D$13,J$4,0)</f>
        <v>9.3160205120515887</v>
      </c>
      <c r="K35" s="9">
        <f>[1]!ripe(K34,K$11+Lähteandmed!$E27*$D$13,K$4,0)</f>
        <v>13.813189702829735</v>
      </c>
      <c r="L35" s="9">
        <f>[1]!ripe(L34,L$11+Lähteandmed!$E27*$D$13,L$4,0)</f>
        <v>9.8184217017450877</v>
      </c>
      <c r="M35" s="9">
        <f>[1]!ripe(M34,M$11+Lähteandmed!$E27*$D$13,M$4,0)</f>
        <v>12.606635682707697</v>
      </c>
      <c r="N35" s="9">
        <f>[1]!ripe(N34,N$11+Lähteandmed!$E27*$D$13,N$4,0)</f>
        <v>12.307325136422749</v>
      </c>
      <c r="O35" s="9">
        <f>[1]!ripe(O34,O$11+Lähteandmed!$E27*$D$13,O$4,0)</f>
        <v>9.316355719584978</v>
      </c>
      <c r="P35" s="9">
        <f>[1]!ripe(P34,P$11+Lähteandmed!$E27*$D$13,P$4,0)</f>
        <v>7.0285870621176967</v>
      </c>
      <c r="Q35" s="9">
        <f>[1]!ripe(Q34,Q$11+Lähteandmed!$E27*$D$13,Q$4,0)</f>
        <v>7.524953903610605</v>
      </c>
      <c r="R35" s="9">
        <f>[1]!ripe(R34,R$11+Lähteandmed!$E27*$D$13,R$4,0)</f>
        <v>10.312452245305947</v>
      </c>
      <c r="S35" s="9"/>
    </row>
    <row r="36" spans="2:19" x14ac:dyDescent="0.2">
      <c r="B36" s="174"/>
      <c r="C36" s="148" t="s">
        <v>49</v>
      </c>
      <c r="D36" s="51">
        <f t="shared" ref="D36:Q36" si="15">D35/D$4^2*1000000</f>
        <v>57.550090470856794</v>
      </c>
      <c r="E36" s="51">
        <f t="shared" si="15"/>
        <v>57.521096671445761</v>
      </c>
      <c r="F36" s="51">
        <f t="shared" si="15"/>
        <v>57.30612423351441</v>
      </c>
      <c r="G36" s="51">
        <f t="shared" si="15"/>
        <v>54.084678139799351</v>
      </c>
      <c r="H36" s="51">
        <f t="shared" si="15"/>
        <v>56.901854806325218</v>
      </c>
      <c r="I36" s="51">
        <f t="shared" si="15"/>
        <v>56.821093235544922</v>
      </c>
      <c r="J36" s="51">
        <f t="shared" si="15"/>
        <v>55.862726487359161</v>
      </c>
      <c r="K36" s="51">
        <f t="shared" si="15"/>
        <v>62.665272532643343</v>
      </c>
      <c r="L36" s="51">
        <f t="shared" si="15"/>
        <v>58.819279433311564</v>
      </c>
      <c r="M36" s="51">
        <f t="shared" si="15"/>
        <v>57.897598746211663</v>
      </c>
      <c r="N36" s="51">
        <f t="shared" si="15"/>
        <v>57.777799328470614</v>
      </c>
      <c r="O36" s="51">
        <f t="shared" si="15"/>
        <v>56.078788918586234</v>
      </c>
      <c r="P36" s="51">
        <f t="shared" si="15"/>
        <v>54.222771230722707</v>
      </c>
      <c r="Q36" s="51">
        <f t="shared" si="15"/>
        <v>54.371944554488309</v>
      </c>
      <c r="R36" s="51">
        <f>R35/R$4^2*1000000</f>
        <v>56.561475521255645</v>
      </c>
      <c r="S36" s="51"/>
    </row>
    <row r="37" spans="2:19" ht="38.25" x14ac:dyDescent="0.2">
      <c r="B37" s="173" t="str">
        <f>Lähteandmed!B30</f>
        <v>Mõõdukas tuul</v>
      </c>
      <c r="C37" s="147" t="s">
        <v>222</v>
      </c>
      <c r="D37" s="6">
        <f>SQRT((kaalutegur R_3*[1]!juhe(D5,6)+jaitetegur R_3*[1]!Jaitekoormus_EN(D$5,JaideJ,hj))^2+(tuuletegur R_3*[1]!Tuulekoormus_en(D$5,Qt,ht,zo,D$4,JaideJ,jaitetegur R_3))^2)</f>
        <v>8.4617931205939745E-2</v>
      </c>
      <c r="E37" s="6">
        <f>SQRT((kaalutegur R_3*[1]!juhe(E5,6)+jaitetegur R_3*[1]!Jaitekoormus_EN(E$5,JaideJ,hj))^2+(tuuletegur R_3*[1]!Tuulekoormus_en(E$5,Qt,ht,zo,E$4,JaideJ,jaitetegur R_3))^2)</f>
        <v>8.4651396010856597E-2</v>
      </c>
      <c r="F37" s="6">
        <f>SQRT((kaalutegur R_3*[1]!juhe(F5,6)+jaitetegur R_3*[1]!Jaitekoormus_EN(F$5,JaideJ,hj))^2+(tuuletegur R_3*[1]!Tuulekoormus_en(F$5,Qt,ht,zo,F$4,JaideJ,jaitetegur R_3))^2)</f>
        <v>8.4679153637539362E-2</v>
      </c>
      <c r="G37" s="6">
        <f>SQRT((kaalutegur R_3*[1]!juhe(G5,6)+jaitetegur R_3*[1]!Jaitekoormus_EN(G$5,JaideJ,hj))^2+(tuuletegur R_3*[1]!Tuulekoormus_en(G$5,Qt,ht,zo,G$4,JaideJ,jaitetegur R_3))^2)</f>
        <v>8.5559465088186404E-2</v>
      </c>
      <c r="H37" s="6">
        <f>SQRT((kaalutegur R_3*[1]!juhe(H5,6)+jaitetegur R_3*[1]!Jaitekoormus_EN(H$5,JaideJ,hj))^2+(tuuletegur R_3*[1]!Tuulekoormus_en(H$5,Qt,ht,zo,H$4,JaideJ,jaitetegur R_3))^2)</f>
        <v>8.4774502157139983E-2</v>
      </c>
      <c r="I37" s="6">
        <f>SQRT((kaalutegur R_3*[1]!juhe(I5,6)+jaitetegur R_3*[1]!Jaitekoormus_EN(I$5,JaideJ,hj))^2+(tuuletegur R_3*[1]!Tuulekoormus_en(I$5,Qt,ht,zo,I$4,JaideJ,jaitetegur R_3))^2)</f>
        <v>8.4848092133514297E-2</v>
      </c>
      <c r="J37" s="6">
        <f>SQRT((kaalutegur R_3*[1]!juhe(J5,6)+jaitetegur R_3*[1]!Jaitekoormus_EN(J$5,JaideJ,hj))^2+(tuuletegur R_3*[1]!Tuulekoormus_en(J$5,Qt,ht,zo,J$4,JaideJ,jaitetegur R_3))^2)</f>
        <v>8.4977099417812688E-2</v>
      </c>
      <c r="K37" s="6">
        <f>SQRT((kaalutegur R_3*[1]!juhe(K5,6)+jaitetegur R_3*[1]!Jaitekoormus_EN(K$5,JaideJ,hj))^2+(tuuletegur R_3*[1]!Tuulekoormus_en(K$5,Qt,ht,zo,K$4,JaideJ,jaitetegur R_3))^2)</f>
        <v>8.4426337698823739E-2</v>
      </c>
      <c r="L37" s="6">
        <f>SQRT((kaalutegur R_3*[1]!juhe(L5,6)+jaitetegur R_3*[1]!Jaitekoormus_EN(L$5,JaideJ,hj))^2+(tuuletegur R_3*[1]!Tuulekoormus_en(L$5,Qt,ht,zo,L$4,JaideJ,jaitetegur R_3))^2)</f>
        <v>8.4975211686435348E-2</v>
      </c>
      <c r="M37" s="6">
        <f>SQRT((kaalutegur R_3*[1]!juhe(M5,6)+jaitetegur R_3*[1]!Jaitekoormus_EN(M$5,JaideJ,hj))^2+(tuuletegur R_3*[1]!Tuulekoormus_en(M$5,Qt,ht,zo,M$4,JaideJ,jaitetegur R_3))^2)</f>
        <v>8.445046917704413E-2</v>
      </c>
      <c r="N37" s="6">
        <f>SQRT((kaalutegur R_3*[1]!juhe(N5,6)+jaitetegur R_3*[1]!Jaitekoormus_EN(N$5,JaideJ,hj))^2+(tuuletegur R_3*[1]!Tuulekoormus_en(N$5,Qt,ht,zo,N$4,JaideJ,jaitetegur R_3))^2)</f>
        <v>8.4493676986417382E-2</v>
      </c>
      <c r="O37" s="6">
        <f>SQRT((kaalutegur R_3*[1]!juhe(O5,6)+jaitetegur R_3*[1]!Jaitekoormus_EN(O$5,JaideJ,hj))^2+(tuuletegur R_3*[1]!Tuulekoormus_en(O$5,Qt,ht,zo,O$4,JaideJ,jaitetegur R_3))^2)</f>
        <v>8.4984679026746834E-2</v>
      </c>
      <c r="P37" s="6">
        <f>SQRT((kaalutegur R_3*[1]!juhe(P5,6)+jaitetegur R_3*[1]!Jaitekoormus_EN(P$5,JaideJ,hj))^2+(tuuletegur R_3*[1]!Tuulekoormus_en(P$5,Qt,ht,zo,P$4,JaideJ,jaitetegur R_3))^2)</f>
        <v>8.5478153853874195E-2</v>
      </c>
      <c r="Q37" s="6">
        <f>SQRT((kaalutegur R_3*[1]!juhe(Q5,6)+jaitetegur R_3*[1]!Jaitekoormus_EN(Q$5,JaideJ,hj))^2+(tuuletegur R_3*[1]!Tuulekoormus_en(Q$5,Qt,ht,zo,Q$4,JaideJ,jaitetegur R_3))^2)</f>
        <v>8.5347582828783575E-2</v>
      </c>
      <c r="R37" s="6">
        <f>SQRT((kaalutegur R_3*[1]!juhe(R5,6)+jaitetegur R_3*[1]!Jaitekoormus_EN(R$5,JaideJ,hj))^2+(tuuletegur R_3*[1]!Tuulekoormus_en(R$5,Qt,ht,zo,R$4,JaideJ,jaitetegur R_3))^2)</f>
        <v>8.4800562917437525E-2</v>
      </c>
      <c r="S37" s="6"/>
    </row>
    <row r="38" spans="2:19" x14ac:dyDescent="0.2">
      <c r="B38" s="173"/>
      <c r="C38" s="147" t="s">
        <v>104</v>
      </c>
      <c r="D38" s="3">
        <f>[1]!Olekuvorrand(D$4,D$5,D$8,5,D$11,Lähteandmed!$C30,D37)</f>
        <v>170.58593034744263</v>
      </c>
      <c r="E38" s="3">
        <f>[1]!Olekuvorrand(E$4,E$5,E$8,5,E$11,Lähteandmed!$C30,E37)</f>
        <v>170.55541276931763</v>
      </c>
      <c r="F38" s="3">
        <f>[1]!Olekuvorrand(F$4,F$5,F$8,5,F$11,Lähteandmed!$C30,F37)</f>
        <v>171.00757360458374</v>
      </c>
      <c r="G38" s="3">
        <f>[1]!Olekuvorrand(G$4,G$5,G$8,5,G$11,Lähteandmed!$C30,G37)</f>
        <v>175.72540044784546</v>
      </c>
      <c r="H38" s="3">
        <f>[1]!Olekuvorrand(H$4,H$5,H$8,5,H$11,Lähteandmed!$C30,H37)</f>
        <v>171.71448469161987</v>
      </c>
      <c r="I38" s="3">
        <f>[1]!Olekuvorrand(I$4,I$5,I$8,5,I$11,Lähteandmed!$C30,I37)</f>
        <v>171.66608572006226</v>
      </c>
      <c r="J38" s="3">
        <f>[1]!Olekuvorrand(J$4,J$5,J$8,5,J$11,Lähteandmed!$C30,J37)</f>
        <v>173.6341118812561</v>
      </c>
      <c r="K38" s="3">
        <f>[1]!Olekuvorrand(K$4,K$5,K$8,5,K$11,Lähteandmed!$C30,K37)</f>
        <v>159.01952981948853</v>
      </c>
      <c r="L38" s="3">
        <f>[1]!Olekuvorrand(L$4,L$5,L$8,5,L$11,Lähteandmed!$C30,L37)</f>
        <v>166.3556694984436</v>
      </c>
      <c r="M38" s="3">
        <f>[1]!Olekuvorrand(M$4,M$5,M$8,5,M$11,Lähteandmed!$C30,M37)</f>
        <v>170.20314931869507</v>
      </c>
      <c r="N38" s="3">
        <f>[1]!Olekuvorrand(N$4,N$5,N$8,5,N$11,Lähteandmed!$C30,N37)</f>
        <v>170.38220167160034</v>
      </c>
      <c r="O38" s="3">
        <f>[1]!Olekuvorrand(O$4,O$5,O$8,5,O$11,Lähteandmed!$C30,O37)</f>
        <v>173.05237054824829</v>
      </c>
      <c r="P38" s="3">
        <f>[1]!Olekuvorrand(P$4,P$5,P$8,5,P$11,Lähteandmed!$C30,P37)</f>
        <v>175.74852705001831</v>
      </c>
      <c r="Q38" s="3">
        <f>[1]!Olekuvorrand(Q$4,Q$5,Q$8,5,Q$11,Lähteandmed!$C30,Q37)</f>
        <v>175.95654726028442</v>
      </c>
      <c r="R38" s="3">
        <f>[1]!Olekuvorrand(R$4,R$5,R$8,5,R$11,Lähteandmed!$C30,R37)</f>
        <v>172.48910665512085</v>
      </c>
      <c r="S38" s="3"/>
    </row>
    <row r="39" spans="2:19" x14ac:dyDescent="0.2">
      <c r="B39" s="173"/>
      <c r="C39" s="147" t="s">
        <v>105</v>
      </c>
      <c r="D39" s="3">
        <f>[1]!ripe(D38,D$11+Lähteandmed!$E30*$D$13,D$4,0)</f>
        <v>9.1592375653053359</v>
      </c>
      <c r="E39" s="3">
        <f>[1]!ripe(E38,E$11+Lähteandmed!$E30*$D$13,E$4,0)</f>
        <v>9.0067565292045799</v>
      </c>
      <c r="F39" s="3">
        <f>[1]!ripe(F38,F$11+Lähteandmed!$E30*$D$13,F$4,0)</f>
        <v>8.857461891771452</v>
      </c>
      <c r="G39" s="3">
        <f>[1]!ripe(G38,G$11+Lähteandmed!$E30*$D$13,G$4,0)</f>
        <v>5.5329249251813666</v>
      </c>
      <c r="H39" s="3">
        <f>[1]!ripe(H38,H$11+Lähteandmed!$E30*$D$13,H$4,0)</f>
        <v>8.4052429275856753</v>
      </c>
      <c r="I39" s="3">
        <f>[1]!ripe(I38,I$11+Lähteandmed!$E30*$D$13,I$4,0)</f>
        <v>8.1004515608235472</v>
      </c>
      <c r="J39" s="3">
        <f>[1]!ripe(J38,J$11+Lähteandmed!$E30*$D$13,J$4,0)</f>
        <v>7.5034896523865902</v>
      </c>
      <c r="K39" s="3">
        <f>[1]!ripe(K38,K$11+Lähteandmed!$E30*$D$13,K$4,0)</f>
        <v>10.829455194027686</v>
      </c>
      <c r="L39" s="3">
        <f>[1]!ripe(L38,L$11+Lähteandmed!$E30*$D$13,L$4,0)</f>
        <v>7.8392480231327744</v>
      </c>
      <c r="M39" s="3">
        <f>[1]!ripe(M38,M$11+Lähteandmed!$E30*$D$13,M$4,0)</f>
        <v>9.9945003825969447</v>
      </c>
      <c r="N39" s="3">
        <f>[1]!ripe(N38,N$11+Lähteandmed!$E30*$D$13,N$4,0)</f>
        <v>9.7671640513588365</v>
      </c>
      <c r="O39" s="3">
        <f>[1]!ripe(O38,O$11+Lähteandmed!$E30*$D$13,O$4,0)</f>
        <v>7.4999766976202684</v>
      </c>
      <c r="P39" s="3">
        <f>[1]!ripe(P38,P$11+Lähteandmed!$E30*$D$13,P$4,0)</f>
        <v>5.7621512704375446</v>
      </c>
      <c r="Q39" s="3">
        <f>[1]!ripe(Q38,Q$11+Lähteandmed!$E30*$D$13,Q$4,0)</f>
        <v>6.144882423672283</v>
      </c>
      <c r="R39" s="3">
        <f>[1]!ripe(R38,R$11+Lähteandmed!$E30*$D$13,R$4,0)</f>
        <v>8.2578992022772653</v>
      </c>
      <c r="S39" s="3"/>
    </row>
    <row r="40" spans="2:19" ht="12.75" customHeight="1" x14ac:dyDescent="0.2">
      <c r="B40" s="173"/>
      <c r="C40" s="147" t="s">
        <v>49</v>
      </c>
      <c r="D40" s="50">
        <f t="shared" ref="D40:Q40" si="16">D39/D$4^2*1000000</f>
        <v>45.798032604962266</v>
      </c>
      <c r="E40" s="50">
        <f t="shared" si="16"/>
        <v>45.806227273283255</v>
      </c>
      <c r="F40" s="50">
        <f t="shared" si="16"/>
        <v>45.685111105456862</v>
      </c>
      <c r="G40" s="50">
        <f t="shared" si="16"/>
        <v>44.458569905599482</v>
      </c>
      <c r="H40" s="50">
        <f t="shared" si="16"/>
        <v>45.497035465763894</v>
      </c>
      <c r="I40" s="50">
        <f t="shared" si="16"/>
        <v>45.509862750292605</v>
      </c>
      <c r="J40" s="50">
        <f t="shared" si="16"/>
        <v>44.994038990119449</v>
      </c>
      <c r="K40" s="50">
        <f t="shared" si="16"/>
        <v>49.12918563442102</v>
      </c>
      <c r="L40" s="50">
        <f t="shared" si="16"/>
        <v>46.96263147240132</v>
      </c>
      <c r="M40" s="50">
        <f t="shared" si="16"/>
        <v>45.901030805085561</v>
      </c>
      <c r="N40" s="50">
        <f t="shared" si="16"/>
        <v>45.852794032196172</v>
      </c>
      <c r="O40" s="50">
        <f t="shared" si="16"/>
        <v>45.145293157494287</v>
      </c>
      <c r="P40" s="50">
        <f t="shared" si="16"/>
        <v>44.452719639445682</v>
      </c>
      <c r="Q40" s="50">
        <f t="shared" si="16"/>
        <v>44.400166527724188</v>
      </c>
      <c r="R40" s="50">
        <f>R39/R$4^2*1000000</f>
        <v>45.292715299526208</v>
      </c>
      <c r="S40" s="50"/>
    </row>
    <row r="41" spans="2:19" ht="38.25" x14ac:dyDescent="0.2">
      <c r="B41" s="174" t="str">
        <f>Lähteandmed!B33</f>
        <v>Piirjäitekoormus</v>
      </c>
      <c r="C41" s="148" t="s">
        <v>222</v>
      </c>
      <c r="D41" s="9">
        <f>SQRT((kaalutegur R_4*[1]!juhe(D5,6)+jaitetegur R_4*[1]!Jaitekoormus_EN(D$5,JaideJ,hj))^2+(tuuletegur R_4*[1]!Tuulekoormus_en(D$5,Qt,ht,zo,D$4,JaideJ,jaitetegur R_4))^2)</f>
        <v>0.16531951056913394</v>
      </c>
      <c r="E41" s="9">
        <f>SQRT((kaalutegur R_4*[1]!juhe(E5,6)+jaitetegur R_4*[1]!Jaitekoormus_EN(E$5,JaideJ,hj))^2+(tuuletegur R_4*[1]!Tuulekoormus_en(E$5,Qt,ht,zo,E$4,JaideJ,jaitetegur R_4))^2)</f>
        <v>0.16531951056913394</v>
      </c>
      <c r="F41" s="9">
        <f>SQRT((kaalutegur R_4*[1]!juhe(F5,6)+jaitetegur R_4*[1]!Jaitekoormus_EN(F$5,JaideJ,hj))^2+(tuuletegur R_4*[1]!Tuulekoormus_en(F$5,Qt,ht,zo,F$4,JaideJ,jaitetegur R_4))^2)</f>
        <v>0.16531951056913394</v>
      </c>
      <c r="G41" s="9">
        <f>SQRT((kaalutegur R_4*[1]!juhe(G5,6)+jaitetegur R_4*[1]!Jaitekoormus_EN(G$5,JaideJ,hj))^2+(tuuletegur R_4*[1]!Tuulekoormus_en(G$5,Qt,ht,zo,G$4,JaideJ,jaitetegur R_4))^2)</f>
        <v>0.16531951056913394</v>
      </c>
      <c r="H41" s="9">
        <f>SQRT((kaalutegur R_4*[1]!juhe(H5,6)+jaitetegur R_4*[1]!Jaitekoormus_EN(H$5,JaideJ,hj))^2+(tuuletegur R_4*[1]!Tuulekoormus_en(H$5,Qt,ht,zo,H$4,JaideJ,jaitetegur R_4))^2)</f>
        <v>0.16531951056913394</v>
      </c>
      <c r="I41" s="9">
        <f>SQRT((kaalutegur R_4*[1]!juhe(I5,6)+jaitetegur R_4*[1]!Jaitekoormus_EN(I$5,JaideJ,hj))^2+(tuuletegur R_4*[1]!Tuulekoormus_en(I$5,Qt,ht,zo,I$4,JaideJ,jaitetegur R_4))^2)</f>
        <v>0.16531951056913394</v>
      </c>
      <c r="J41" s="9">
        <f>SQRT((kaalutegur R_4*[1]!juhe(J5,6)+jaitetegur R_4*[1]!Jaitekoormus_EN(J$5,JaideJ,hj))^2+(tuuletegur R_4*[1]!Tuulekoormus_en(J$5,Qt,ht,zo,J$4,JaideJ,jaitetegur R_4))^2)</f>
        <v>0.16531951056913394</v>
      </c>
      <c r="K41" s="9">
        <f>SQRT((kaalutegur R_4*[1]!juhe(K5,6)+jaitetegur R_4*[1]!Jaitekoormus_EN(K$5,JaideJ,hj))^2+(tuuletegur R_4*[1]!Tuulekoormus_en(K$5,Qt,ht,zo,K$4,JaideJ,jaitetegur R_4))^2)</f>
        <v>0.16531951056913394</v>
      </c>
      <c r="L41" s="9">
        <f>SQRT((kaalutegur R_4*[1]!juhe(L5,6)+jaitetegur R_4*[1]!Jaitekoormus_EN(L$5,JaideJ,hj))^2+(tuuletegur R_4*[1]!Tuulekoormus_en(L$5,Qt,ht,zo,L$4,JaideJ,jaitetegur R_4))^2)</f>
        <v>0.16531951056913394</v>
      </c>
      <c r="M41" s="9">
        <f>SQRT((kaalutegur R_4*[1]!juhe(M5,6)+jaitetegur R_4*[1]!Jaitekoormus_EN(M$5,JaideJ,hj))^2+(tuuletegur R_4*[1]!Tuulekoormus_en(M$5,Qt,ht,zo,M$4,JaideJ,jaitetegur R_4))^2)</f>
        <v>0.16531951056913394</v>
      </c>
      <c r="N41" s="9">
        <f>SQRT((kaalutegur R_4*[1]!juhe(N5,6)+jaitetegur R_4*[1]!Jaitekoormus_EN(N$5,JaideJ,hj))^2+(tuuletegur R_4*[1]!Tuulekoormus_en(N$5,Qt,ht,zo,N$4,JaideJ,jaitetegur R_4))^2)</f>
        <v>0.16531951056913394</v>
      </c>
      <c r="O41" s="9">
        <f>SQRT((kaalutegur R_4*[1]!juhe(O5,6)+jaitetegur R_4*[1]!Jaitekoormus_EN(O$5,JaideJ,hj))^2+(tuuletegur R_4*[1]!Tuulekoormus_en(O$5,Qt,ht,zo,O$4,JaideJ,jaitetegur R_4))^2)</f>
        <v>0.16531951056913394</v>
      </c>
      <c r="P41" s="9">
        <f>SQRT((kaalutegur R_4*[1]!juhe(P5,6)+jaitetegur R_4*[1]!Jaitekoormus_EN(P$5,JaideJ,hj))^2+(tuuletegur R_4*[1]!Tuulekoormus_en(P$5,Qt,ht,zo,P$4,JaideJ,jaitetegur R_4))^2)</f>
        <v>0.16531951056913394</v>
      </c>
      <c r="Q41" s="9">
        <f>SQRT((kaalutegur R_4*[1]!juhe(Q5,6)+jaitetegur R_4*[1]!Jaitekoormus_EN(Q$5,JaideJ,hj))^2+(tuuletegur R_4*[1]!Tuulekoormus_en(Q$5,Qt,ht,zo,Q$4,JaideJ,jaitetegur R_4))^2)</f>
        <v>0.16531951056913394</v>
      </c>
      <c r="R41" s="9">
        <f>SQRT((kaalutegur R_4*[1]!juhe(R5,6)+jaitetegur R_4*[1]!Jaitekoormus_EN(R$5,JaideJ,hj))^2+(tuuletegur R_4*[1]!Tuulekoormus_en(R$5,Qt,ht,zo,R$4,JaideJ,jaitetegur R_4))^2)</f>
        <v>0.16531951056913394</v>
      </c>
      <c r="S41" s="9"/>
    </row>
    <row r="42" spans="2:19" x14ac:dyDescent="0.2">
      <c r="B42" s="174"/>
      <c r="C42" s="148" t="s">
        <v>104</v>
      </c>
      <c r="D42" s="22">
        <f>[1]!Olekuvorrand(D$4,D$5,D$8,5,D$11,Lähteandmed!$C33,D41)</f>
        <v>282.00143575668335</v>
      </c>
      <c r="E42" s="22">
        <f>[1]!Olekuvorrand(E$4,E$5,E$8,5,E$11,Lähteandmed!$C33,E41)</f>
        <v>281.40515089035034</v>
      </c>
      <c r="F42" s="22">
        <f>[1]!Olekuvorrand(F$4,F$5,F$8,5,F$11,Lähteandmed!$C33,F41)</f>
        <v>281.44794702529907</v>
      </c>
      <c r="G42" s="22">
        <f>[1]!Olekuvorrand(G$4,G$5,G$8,5,G$11,Lähteandmed!$C33,G41)</f>
        <v>271.13491296768188</v>
      </c>
      <c r="H42" s="22">
        <f>[1]!Olekuvorrand(H$4,H$5,H$8,5,H$11,Lähteandmed!$C33,H41)</f>
        <v>280.61980009078979</v>
      </c>
      <c r="I42" s="22">
        <f>[1]!Olekuvorrand(I$4,I$5,I$8,5,I$11,Lähteandmed!$C33,I41)</f>
        <v>279.31123971939087</v>
      </c>
      <c r="J42" s="22">
        <f>[1]!Olekuvorrand(J$4,J$5,J$8,5,J$11,Lähteandmed!$C33,J41)</f>
        <v>279.21956777572632</v>
      </c>
      <c r="K42" s="22">
        <f>[1]!Olekuvorrand(K$4,K$5,K$8,5,K$11,Lähteandmed!$C33,K41)</f>
        <v>271.3584303855896</v>
      </c>
      <c r="L42" s="22">
        <f>[1]!Olekuvorrand(L$4,L$5,L$8,5,L$11,Lähteandmed!$C33,L41)</f>
        <v>271.33363485336304</v>
      </c>
      <c r="M42" s="22">
        <f>[1]!Olekuvorrand(M$4,M$5,M$8,5,M$11,Lähteandmed!$C33,M41)</f>
        <v>284.35343503952026</v>
      </c>
      <c r="N42" s="22">
        <f>[1]!Olekuvorrand(N$4,N$5,N$8,5,N$11,Lähteandmed!$C33,N41)</f>
        <v>283.84357690811157</v>
      </c>
      <c r="O42" s="22">
        <f>[1]!Olekuvorrand(O$4,O$5,O$8,5,O$11,Lähteandmed!$C33,O41)</f>
        <v>278.46497297286987</v>
      </c>
      <c r="P42" s="22">
        <f>[1]!Olekuvorrand(P$4,P$5,P$8,5,P$11,Lähteandmed!$C33,P41)</f>
        <v>272.59677648544312</v>
      </c>
      <c r="Q42" s="22">
        <f>[1]!Olekuvorrand(Q$4,Q$5,Q$8,5,Q$11,Lähteandmed!$C33,Q41)</f>
        <v>275.12043714523315</v>
      </c>
      <c r="R42" s="22">
        <f>[1]!Olekuvorrand(R$4,R$5,R$8,5,R$11,Lähteandmed!$C33,R41)</f>
        <v>281.02892637252808</v>
      </c>
      <c r="S42" s="22"/>
    </row>
    <row r="43" spans="2:19" ht="12.75" customHeight="1" x14ac:dyDescent="0.2">
      <c r="B43" s="174"/>
      <c r="C43" s="148" t="s">
        <v>105</v>
      </c>
      <c r="D43" s="9">
        <f>[1]!ripe(D42,D$11+Lähteandmed!$E33*$D$13,D$4,0)</f>
        <v>14.655320010524608</v>
      </c>
      <c r="E43" s="9">
        <f>[1]!ripe(E42,E$11+Lähteandmed!$E33*$D$13,E$4,0)</f>
        <v>14.439294717812562</v>
      </c>
      <c r="F43" s="9">
        <f>[1]!ripe(F42,F$11+Lähteandmed!$E33*$D$13,F$4,0)</f>
        <v>14.235431825883785</v>
      </c>
      <c r="G43" s="9">
        <f>[1]!ripe(G42,G$11+Lähteandmed!$E33*$D$13,G$4,0)</f>
        <v>9.4852322462288932</v>
      </c>
      <c r="H43" s="9">
        <f>[1]!ripe(H42,H$11+Lähteandmed!$E33*$D$13,H$4,0)</f>
        <v>13.60451248134901</v>
      </c>
      <c r="I43" s="9">
        <f>[1]!ripe(I42,I$11+Lähteandmed!$E33*$D$13,I$4,0)</f>
        <v>13.168897430605391</v>
      </c>
      <c r="J43" s="9">
        <f>[1]!ripe(J42,J$11+Lähteandmed!$E33*$D$13,J$4,0)</f>
        <v>12.342313714827094</v>
      </c>
      <c r="K43" s="9">
        <f>[1]!ripe(K42,K$11+Lähteandmed!$E33*$D$13,K$4,0)</f>
        <v>16.786410869440278</v>
      </c>
      <c r="L43" s="9">
        <f>[1]!ripe(L42,L$11+Lähteandmed!$E33*$D$13,L$4,0)</f>
        <v>12.713129543725026</v>
      </c>
      <c r="M43" s="9">
        <f>[1]!ripe(M42,M$11+Lähteandmed!$E33*$D$13,M$4,0)</f>
        <v>15.823927891480476</v>
      </c>
      <c r="N43" s="9">
        <f>[1]!ripe(N42,N$11+Lähteandmed!$E33*$D$13,N$4,0)</f>
        <v>15.508069214964694</v>
      </c>
      <c r="O43" s="9">
        <f>[1]!ripe(O42,O$11+Lähteandmed!$E33*$D$13,O$4,0)</f>
        <v>12.328521181939278</v>
      </c>
      <c r="P43" s="9">
        <f>[1]!ripe(P42,P$11+Lähteandmed!$E33*$D$13,P$4,0)</f>
        <v>9.8265196486936386</v>
      </c>
      <c r="Q43" s="9">
        <f>[1]!ripe(Q42,Q$11+Lähteandmed!$E33*$D$13,Q$4,0)</f>
        <v>10.39537712910888</v>
      </c>
      <c r="R43" s="9">
        <f>[1]!ripe(R42,R$11+Lähteandmed!$E33*$D$13,R$4,0)</f>
        <v>13.406774963783183</v>
      </c>
      <c r="S43" s="9"/>
    </row>
    <row r="44" spans="2:19" x14ac:dyDescent="0.2">
      <c r="B44" s="174"/>
      <c r="C44" s="148" t="s">
        <v>49</v>
      </c>
      <c r="D44" s="51">
        <f t="shared" ref="D44:Q44" si="17">D43/D$4^2*1000000</f>
        <v>73.279551806863424</v>
      </c>
      <c r="E44" s="51">
        <f t="shared" si="17"/>
        <v>73.434827883423665</v>
      </c>
      <c r="F44" s="51">
        <f t="shared" si="17"/>
        <v>73.423661602634425</v>
      </c>
      <c r="G44" s="51">
        <f t="shared" si="17"/>
        <v>76.216443669889586</v>
      </c>
      <c r="H44" s="51">
        <f t="shared" si="17"/>
        <v>73.640344745652129</v>
      </c>
      <c r="I44" s="51">
        <f t="shared" si="17"/>
        <v>73.985346389578552</v>
      </c>
      <c r="J44" s="51">
        <f t="shared" si="17"/>
        <v>74.009636880965871</v>
      </c>
      <c r="K44" s="51">
        <f t="shared" si="17"/>
        <v>76.153664331628406</v>
      </c>
      <c r="L44" s="51">
        <f t="shared" si="17"/>
        <v>76.160623552290915</v>
      </c>
      <c r="M44" s="51">
        <f t="shared" si="17"/>
        <v>72.673427765237534</v>
      </c>
      <c r="N44" s="51">
        <f t="shared" si="17"/>
        <v>72.803968461233069</v>
      </c>
      <c r="O44" s="51">
        <f t="shared" si="17"/>
        <v>74.210190964143536</v>
      </c>
      <c r="P44" s="51">
        <f t="shared" si="17"/>
        <v>75.807715291326147</v>
      </c>
      <c r="Q44" s="51">
        <f t="shared" si="17"/>
        <v>75.112336384639221</v>
      </c>
      <c r="R44" s="51">
        <f>R43/R$4^2*1000000</f>
        <v>73.533137986473974</v>
      </c>
      <c r="S44" s="51"/>
    </row>
    <row r="45" spans="2:19" ht="38.25" x14ac:dyDescent="0.2">
      <c r="B45" s="173" t="str">
        <f>Lähteandmed!B36</f>
        <v>Piirjäitekoormus + vähend tuul</v>
      </c>
      <c r="C45" s="147" t="s">
        <v>222</v>
      </c>
      <c r="D45" s="6">
        <f>SQRT((kaalutegur R_5*[1]!juhe(D5,6)+jaitetegur R_5*[1]!Jaitekoormus_EN(D$5,JaideJ,hj))^2+(tuuletegur R_5*[1]!Tuulekoormus_en(D$5,Qt,ht,zo,D$4,JaideJ,jaitetegur R_5))^2)</f>
        <v>0.22223501452771374</v>
      </c>
      <c r="E45" s="6">
        <f>SQRT((kaalutegur R_5*[1]!juhe(E5,6)+jaitetegur R_5*[1]!Jaitekoormus_EN(E$5,JaideJ,hj))^2+(tuuletegur R_5*[1]!Tuulekoormus_en(E$5,Qt,ht,zo,E$4,JaideJ,jaitetegur R_5))^2)</f>
        <v>0.22232139050606797</v>
      </c>
      <c r="F45" s="6">
        <f>SQRT((kaalutegur R_5*[1]!juhe(F5,6)+jaitetegur R_5*[1]!Jaitekoormus_EN(F$5,JaideJ,hj))^2+(tuuletegur R_5*[1]!Tuulekoormus_en(F$5,Qt,ht,zo,F$4,JaideJ,jaitetegur R_5))^2)</f>
        <v>0.2223930361377397</v>
      </c>
      <c r="G45" s="6">
        <f>SQRT((kaalutegur R_5*[1]!juhe(G5,6)+jaitetegur R_5*[1]!Jaitekoormus_EN(G$5,JaideJ,hj))^2+(tuuletegur R_5*[1]!Tuulekoormus_en(G$5,Qt,ht,zo,G$4,JaideJ,jaitetegur R_5))^2)</f>
        <v>0.22466542891832181</v>
      </c>
      <c r="H45" s="6">
        <f>SQRT((kaalutegur R_5*[1]!juhe(H5,6)+jaitetegur R_5*[1]!Jaitekoormus_EN(H$5,JaideJ,hj))^2+(tuuletegur R_5*[1]!Tuulekoormus_en(H$5,Qt,ht,zo,H$4,JaideJ,jaitetegur R_5))^2)</f>
        <v>0.22263914472440335</v>
      </c>
      <c r="I45" s="6">
        <f>SQRT((kaalutegur R_5*[1]!juhe(I5,6)+jaitetegur R_5*[1]!Jaitekoormus_EN(I$5,JaideJ,hj))^2+(tuuletegur R_5*[1]!Tuulekoormus_en(I$5,Qt,ht,zo,I$4,JaideJ,jaitetegur R_5))^2)</f>
        <v>0.22282909455255631</v>
      </c>
      <c r="J45" s="6">
        <f>SQRT((kaalutegur R_5*[1]!juhe(J5,6)+jaitetegur R_5*[1]!Jaitekoormus_EN(J$5,JaideJ,hj))^2+(tuuletegur R_5*[1]!Tuulekoormus_en(J$5,Qt,ht,zo,J$4,JaideJ,jaitetegur R_5))^2)</f>
        <v>0.22316209387784955</v>
      </c>
      <c r="K45" s="6">
        <f>SQRT((kaalutegur R_5*[1]!juhe(K5,6)+jaitetegur R_5*[1]!Jaitekoormus_EN(K$5,JaideJ,hj))^2+(tuuletegur R_5*[1]!Tuulekoormus_en(K$5,Qt,ht,zo,K$4,JaideJ,jaitetegur R_5))^2)</f>
        <v>0.22174050404617987</v>
      </c>
      <c r="L45" s="6">
        <f>SQRT((kaalutegur R_5*[1]!juhe(L5,6)+jaitetegur R_5*[1]!Jaitekoormus_EN(L$5,JaideJ,hj))^2+(tuuletegur R_5*[1]!Tuulekoormus_en(L$5,Qt,ht,zo,L$4,JaideJ,jaitetegur R_5))^2)</f>
        <v>0.22315722111951328</v>
      </c>
      <c r="M45" s="6">
        <f>SQRT((kaalutegur R_5*[1]!juhe(M5,6)+jaitetegur R_5*[1]!Jaitekoormus_EN(M$5,JaideJ,hj))^2+(tuuletegur R_5*[1]!Tuulekoormus_en(M$5,Qt,ht,zo,M$4,JaideJ,jaitetegur R_5))^2)</f>
        <v>0.22180278728749259</v>
      </c>
      <c r="N45" s="6">
        <f>SQRT((kaalutegur R_5*[1]!juhe(N5,6)+jaitetegur R_5*[1]!Jaitekoormus_EN(N$5,JaideJ,hj))^2+(tuuletegur R_5*[1]!Tuulekoormus_en(N$5,Qt,ht,zo,N$4,JaideJ,jaitetegur R_5))^2)</f>
        <v>0.2219143072260884</v>
      </c>
      <c r="O45" s="6">
        <f>SQRT((kaalutegur R_5*[1]!juhe(O5,6)+jaitetegur R_5*[1]!Jaitekoormus_EN(O$5,JaideJ,hj))^2+(tuuletegur R_5*[1]!Tuulekoormus_en(O$5,Qt,ht,zo,O$4,JaideJ,jaitetegur R_5))^2)</f>
        <v>0.22318165896968936</v>
      </c>
      <c r="P45" s="6">
        <f>SQRT((kaalutegur R_5*[1]!juhe(P5,6)+jaitetegur R_5*[1]!Jaitekoormus_EN(P$5,JaideJ,hj))^2+(tuuletegur R_5*[1]!Tuulekoormus_en(P$5,Qt,ht,zo,P$4,JaideJ,jaitetegur R_5))^2)</f>
        <v>0.22445551938209296</v>
      </c>
      <c r="Q45" s="6">
        <f>SQRT((kaalutegur R_5*[1]!juhe(Q5,6)+jaitetegur R_5*[1]!Jaitekoormus_EN(Q$5,JaideJ,hj))^2+(tuuletegur R_5*[1]!Tuulekoormus_en(Q$5,Qt,ht,zo,Q$4,JaideJ,jaitetegur R_5))^2)</f>
        <v>0.224118449977669</v>
      </c>
      <c r="R45" s="6">
        <f>SQRT((kaalutegur R_5*[1]!juhe(R5,6)+jaitetegur R_5*[1]!Jaitekoormus_EN(R$5,JaideJ,hj))^2+(tuuletegur R_5*[1]!Tuulekoormus_en(R$5,Qt,ht,zo,R$4,JaideJ,jaitetegur R_5))^2)</f>
        <v>0.22270641221642257</v>
      </c>
      <c r="S45" s="6"/>
    </row>
    <row r="46" spans="2:19" x14ac:dyDescent="0.2">
      <c r="B46" s="173"/>
      <c r="C46" s="147" t="s">
        <v>104</v>
      </c>
      <c r="D46" s="3">
        <f>[1]!Olekuvorrand(D$4,D$5,D$8,5,D$11,Lähteandmed!$C36,D45)</f>
        <v>350.29011964797974</v>
      </c>
      <c r="E46" s="3">
        <f>[1]!Olekuvorrand(E$4,E$5,E$8,5,E$11,Lähteandmed!$C36,E45)</f>
        <v>349.45052862167358</v>
      </c>
      <c r="F46" s="3">
        <f>[1]!Olekuvorrand(F$4,F$5,F$8,5,F$11,Lähteandmed!$C36,F45)</f>
        <v>349.31308031082153</v>
      </c>
      <c r="G46" s="3">
        <f>[1]!Olekuvorrand(G$4,G$5,G$8,5,G$11,Lähteandmed!$C36,G45)</f>
        <v>332.45760202407837</v>
      </c>
      <c r="H46" s="3">
        <f>[1]!Olekuvorrand(H$4,H$5,H$8,5,H$11,Lähteandmed!$C36,H45)</f>
        <v>347.81700372695923</v>
      </c>
      <c r="I46" s="3">
        <f>[1]!Olekuvorrand(I$4,I$5,I$8,5,I$11,Lähteandmed!$C36,I45)</f>
        <v>345.96377611160278</v>
      </c>
      <c r="J46" s="3">
        <f>[1]!Olekuvorrand(J$4,J$5,J$8,5,J$11,Lähteandmed!$C36,J45)</f>
        <v>344.96992826461792</v>
      </c>
      <c r="K46" s="3">
        <f>[1]!Olekuvorrand(K$4,K$5,K$8,5,K$11,Lähteandmed!$C36,K45)</f>
        <v>340.1598334312439</v>
      </c>
      <c r="L46" s="3">
        <f>[1]!Olekuvorrand(L$4,L$5,L$8,5,L$11,Lähteandmed!$C36,L45)</f>
        <v>336.85892820358276</v>
      </c>
      <c r="M46" s="3">
        <f>[1]!Olekuvorrand(M$4,M$5,M$8,5,M$11,Lähteandmed!$C36,M45)</f>
        <v>353.82038354873657</v>
      </c>
      <c r="N46" s="3">
        <f>[1]!Olekuvorrand(N$4,N$5,N$8,5,N$11,Lähteandmed!$C36,N45)</f>
        <v>353.01357507705688</v>
      </c>
      <c r="O46" s="3">
        <f>[1]!Olekuvorrand(O$4,O$5,O$8,5,O$11,Lähteandmed!$C36,O45)</f>
        <v>344.14297342300415</v>
      </c>
      <c r="P46" s="3">
        <f>[1]!Olekuvorrand(P$4,P$5,P$8,5,P$11,Lähteandmed!$C36,P45)</f>
        <v>334.54734086990356</v>
      </c>
      <c r="Q46" s="3">
        <f>[1]!Olekuvorrand(Q$4,Q$5,Q$8,5,Q$11,Lähteandmed!$C36,Q45)</f>
        <v>338.07998895645142</v>
      </c>
      <c r="R46" s="3">
        <f>[1]!Olekuvorrand(R$4,R$5,R$8,5,R$11,Lähteandmed!$C36,R45)</f>
        <v>348.06317090988159</v>
      </c>
      <c r="S46" s="3"/>
    </row>
    <row r="47" spans="2:19" x14ac:dyDescent="0.2">
      <c r="B47" s="173"/>
      <c r="C47" s="147" t="s">
        <v>105</v>
      </c>
      <c r="D47" s="3">
        <f>[1]!ripe(D46,D$11+Lähteandmed!$E36*$D$13,D$4,0)</f>
        <v>11.798281060838441</v>
      </c>
      <c r="E47" s="3">
        <f>[1]!ripe(E46,E$11+Lähteandmed!$E36*$D$13,E$4,0)</f>
        <v>11.627659928983348</v>
      </c>
      <c r="F47" s="3">
        <f>[1]!ripe(F46,F$11+Lähteandmed!$E36*$D$13,F$4,0)</f>
        <v>11.469748166454435</v>
      </c>
      <c r="G47" s="3">
        <f>[1]!ripe(G46,G$11+Lähteandmed!$E36*$D$13,G$4,0)</f>
        <v>7.7356559269571425</v>
      </c>
      <c r="H47" s="3">
        <f>[1]!ripe(H46,H$11+Lähteandmed!$E36*$D$13,H$4,0)</f>
        <v>10.976161406547432</v>
      </c>
      <c r="I47" s="3">
        <f>[1]!ripe(I46,I$11+Lähteandmed!$E36*$D$13,I$4,0)</f>
        <v>10.631809805120618</v>
      </c>
      <c r="J47" s="3">
        <f>[1]!ripe(J46,J$11+Lähteandmed!$E36*$D$13,J$4,0)</f>
        <v>9.9899012013677115</v>
      </c>
      <c r="K47" s="3">
        <f>[1]!ripe(K46,K$11+Lähteandmed!$E36*$D$13,K$4,0)</f>
        <v>13.391158089979598</v>
      </c>
      <c r="L47" s="3">
        <f>[1]!ripe(L46,L$11+Lähteandmed!$E36*$D$13,L$4,0)</f>
        <v>10.240190657425181</v>
      </c>
      <c r="M47" s="3">
        <f>[1]!ripe(M46,M$11+Lähteandmed!$E36*$D$13,M$4,0)</f>
        <v>12.717153846904798</v>
      </c>
      <c r="N47" s="3">
        <f>[1]!ripe(N46,N$11+Lähteandmed!$E36*$D$13,N$4,0)</f>
        <v>12.469395365187573</v>
      </c>
      <c r="O47" s="3">
        <f>[1]!ripe(O46,O$11+Lähteandmed!$E36*$D$13,O$4,0)</f>
        <v>9.9756833143427848</v>
      </c>
      <c r="P47" s="3">
        <f>[1]!ripe(P46,P$11+Lähteandmed!$E36*$D$13,P$4,0)</f>
        <v>8.0068715337552785</v>
      </c>
      <c r="Q47" s="3">
        <f>[1]!ripe(Q46,Q$11+Lähteandmed!$E36*$D$13,Q$4,0)</f>
        <v>8.4594793938495787</v>
      </c>
      <c r="R47" s="3">
        <f>[1]!ripe(R46,R$11+Lähteandmed!$E36*$D$13,R$4,0)</f>
        <v>10.824734959291584</v>
      </c>
      <c r="S47" s="3"/>
    </row>
    <row r="48" spans="2:19" x14ac:dyDescent="0.2">
      <c r="B48" s="173"/>
      <c r="C48" s="147" t="s">
        <v>49</v>
      </c>
      <c r="D48" s="50">
        <f t="shared" ref="D48:Q48" si="18">D47/D$4^2*1000000</f>
        <v>58.993781617102847</v>
      </c>
      <c r="E48" s="50">
        <f t="shared" si="18"/>
        <v>59.135520277075543</v>
      </c>
      <c r="F48" s="50">
        <f t="shared" si="18"/>
        <v>59.15878902317062</v>
      </c>
      <c r="G48" s="50">
        <f t="shared" si="18"/>
        <v>62.158117893315833</v>
      </c>
      <c r="H48" s="50">
        <f t="shared" si="18"/>
        <v>59.413250645342174</v>
      </c>
      <c r="I48" s="50">
        <f t="shared" si="18"/>
        <v>59.731510198557721</v>
      </c>
      <c r="J48" s="50">
        <f t="shared" si="18"/>
        <v>59.903594858535534</v>
      </c>
      <c r="K48" s="50">
        <f t="shared" si="18"/>
        <v>60.750673037117195</v>
      </c>
      <c r="L48" s="50">
        <f t="shared" si="18"/>
        <v>61.345973316915497</v>
      </c>
      <c r="M48" s="50">
        <f t="shared" si="18"/>
        <v>58.405167655625675</v>
      </c>
      <c r="N48" s="50">
        <f t="shared" si="18"/>
        <v>58.538651995552677</v>
      </c>
      <c r="O48" s="50">
        <f t="shared" si="18"/>
        <v>60.047539589719833</v>
      </c>
      <c r="P48" s="50">
        <f t="shared" si="18"/>
        <v>61.769849275764471</v>
      </c>
      <c r="Q48" s="50">
        <f t="shared" si="18"/>
        <v>61.124406933779298</v>
      </c>
      <c r="R48" s="50">
        <f>R47/R$4^2*1000000</f>
        <v>59.371230708267561</v>
      </c>
      <c r="S48" s="50"/>
    </row>
    <row r="49" spans="2:19" ht="38.25" x14ac:dyDescent="0.2">
      <c r="B49" s="174" t="str">
        <f>Lähteandmed!B39</f>
        <v>Suur tuul + mõõdukas jäide</v>
      </c>
      <c r="C49" s="148" t="s">
        <v>222</v>
      </c>
      <c r="D49" s="9">
        <f>SQRT((kaalutegur R_6*[1]!juhe(D5,6)+jaitetegur R_6*[1]!Jaitekoormus_EN(D$5,JaideJ,hj))^2+(tuuletegur R_6*[1]!Tuulekoormus_en(D$5,Qt,ht,zo,D$4,JaideJ,jaitetegur R_6))^2)</f>
        <v>0.21989675199009495</v>
      </c>
      <c r="E49" s="9">
        <f>SQRT((kaalutegur R_6*[1]!juhe(E5,6)+jaitetegur R_6*[1]!Jaitekoormus_EN(E$5,JaideJ,hj))^2+(tuuletegur R_6*[1]!Tuulekoormus_en(E$5,Qt,ht,zo,E$4,JaideJ,jaitetegur R_6))^2)</f>
        <v>0.22005729895769957</v>
      </c>
      <c r="F49" s="9">
        <f>SQRT((kaalutegur R_6*[1]!juhe(F5,6)+jaitetegur R_6*[1]!Jaitekoormus_EN(F$5,JaideJ,hj))^2+(tuuletegur R_6*[1]!Tuulekoormus_en(F$5,Qt,ht,zo,F$4,JaideJ,jaitetegur R_6))^2)</f>
        <v>0.22019042511353584</v>
      </c>
      <c r="G49" s="9">
        <f>SQRT((kaalutegur R_6*[1]!juhe(G5,6)+jaitetegur R_6*[1]!Jaitekoormus_EN(G$5,JaideJ,hj))^2+(tuuletegur R_6*[1]!Tuulekoormus_en(G$5,Qt,ht,zo,G$4,JaideJ,jaitetegur R_6))^2)</f>
        <v>0.22439365739193248</v>
      </c>
      <c r="H49" s="9">
        <f>SQRT((kaalutegur R_6*[1]!juhe(H5,6)+jaitetegur R_6*[1]!Jaitekoormus_EN(H$5,JaideJ,hj))^2+(tuuletegur R_6*[1]!Tuulekoormus_en(H$5,Qt,ht,zo,H$4,JaideJ,jaitetegur R_6))^2)</f>
        <v>0.22064743844662263</v>
      </c>
      <c r="I49" s="9">
        <f>SQRT((kaalutegur R_6*[1]!juhe(I5,6)+jaitetegur R_6*[1]!Jaitekoormus_EN(I$5,JaideJ,hj))^2+(tuuletegur R_6*[1]!Tuulekoormus_en(I$5,Qt,ht,zo,I$4,JaideJ,jaitetegur R_6))^2)</f>
        <v>0.22099986582808021</v>
      </c>
      <c r="J49" s="9">
        <f>SQRT((kaalutegur R_6*[1]!juhe(J5,6)+jaitetegur R_6*[1]!Jaitekoormus_EN(J$5,JaideJ,hj))^2+(tuuletegur R_6*[1]!Tuulekoormus_en(J$5,Qt,ht,zo,J$4,JaideJ,jaitetegur R_6))^2)</f>
        <v>0.22161707330421906</v>
      </c>
      <c r="K49" s="9">
        <f>SQRT((kaalutegur R_6*[1]!juhe(K5,6)+jaitetegur R_6*[1]!Jaitekoormus_EN(K$5,JaideJ,hj))^2+(tuuletegur R_6*[1]!Tuulekoormus_en(K$5,Qt,ht,zo,K$4,JaideJ,jaitetegur R_6))^2)</f>
        <v>0.21897654624030513</v>
      </c>
      <c r="L49" s="9">
        <f>SQRT((kaalutegur R_6*[1]!juhe(L5,6)+jaitetegur R_6*[1]!Jaitekoormus_EN(L$5,JaideJ,hj))^2+(tuuletegur R_6*[1]!Tuulekoormus_en(L$5,Qt,ht,zo,L$4,JaideJ,jaitetegur R_6))^2)</f>
        <v>0.22160804750299976</v>
      </c>
      <c r="M49" s="9">
        <f>SQRT((kaalutegur R_6*[1]!juhe(M5,6)+jaitetegur R_6*[1]!Jaitekoormus_EN(M$5,JaideJ,hj))^2+(tuuletegur R_6*[1]!Tuulekoormus_en(M$5,Qt,ht,zo,M$4,JaideJ,jaitetegur R_6))^2)</f>
        <v>0.21909254522426647</v>
      </c>
      <c r="N49" s="9">
        <f>SQRT((kaalutegur R_6*[1]!juhe(N5,6)+jaitetegur R_6*[1]!Jaitekoormus_EN(N$5,JaideJ,hj))^2+(tuuletegur R_6*[1]!Tuulekoormus_en(N$5,Qt,ht,zo,N$4,JaideJ,jaitetegur R_6))^2)</f>
        <v>0.21930017274934613</v>
      </c>
      <c r="O49" s="9">
        <f>SQRT((kaalutegur R_6*[1]!juhe(O5,6)+jaitetegur R_6*[1]!Jaitekoormus_EN(O$5,JaideJ,hj))^2+(tuuletegur R_6*[1]!Tuulekoormus_en(O$5,Qt,ht,zo,O$4,JaideJ,jaitetegur R_6))^2)</f>
        <v>0.22165331197093913</v>
      </c>
      <c r="P49" s="9">
        <f>SQRT((kaalutegur R_6*[1]!juhe(P5,6)+jaitetegur R_6*[1]!Jaitekoormus_EN(P$5,JaideJ,hj))^2+(tuuletegur R_6*[1]!Tuulekoormus_en(P$5,Qt,ht,zo,P$4,JaideJ,jaitetegur R_6))^2)</f>
        <v>0.22400691756617888</v>
      </c>
      <c r="Q49" s="9">
        <f>SQRT((kaalutegur R_6*[1]!juhe(Q5,6)+jaitetegur R_6*[1]!Jaitekoormus_EN(Q$5,JaideJ,hj))^2+(tuuletegur R_6*[1]!Tuulekoormus_en(Q$5,Qt,ht,zo,Q$4,JaideJ,jaitetegur R_6))^2)</f>
        <v>0.22338525517216229</v>
      </c>
      <c r="R49" s="9">
        <f>SQRT((kaalutegur R_6*[1]!juhe(R5,6)+jaitetegur R_6*[1]!Jaitekoormus_EN(R$5,JaideJ,hj))^2+(tuuletegur R_6*[1]!Tuulekoormus_en(R$5,Qt,ht,zo,R$4,JaideJ,jaitetegur R_6))^2)</f>
        <v>0.22077227455233753</v>
      </c>
      <c r="S49" s="9"/>
    </row>
    <row r="50" spans="2:19" x14ac:dyDescent="0.2">
      <c r="B50" s="174"/>
      <c r="C50" s="148" t="s">
        <v>104</v>
      </c>
      <c r="D50" s="22">
        <f>[1]!Olekuvorrand(D$4,D$5,D$8,5,D$11,Lähteandmed!$C39,D49)</f>
        <v>347.60493040084839</v>
      </c>
      <c r="E50" s="22">
        <f>[1]!Olekuvorrand(E$4,E$5,E$8,5,E$11,Lähteandmed!$C39,E49)</f>
        <v>346.86416387557983</v>
      </c>
      <c r="F50" s="22">
        <f>[1]!Olekuvorrand(F$4,F$5,F$8,5,F$11,Lähteandmed!$C39,F49)</f>
        <v>346.80730104446411</v>
      </c>
      <c r="G50" s="22">
        <f>[1]!Olekuvorrand(G$4,G$5,G$8,5,G$11,Lähteandmed!$C39,G49)</f>
        <v>332.19009637832642</v>
      </c>
      <c r="H50" s="22">
        <f>[1]!Olekuvorrand(H$4,H$5,H$8,5,H$11,Lähteandmed!$C39,H49)</f>
        <v>345.58457136154175</v>
      </c>
      <c r="I50" s="22">
        <f>[1]!Olekuvorrand(I$4,I$5,I$8,5,I$11,Lähteandmed!$C39,I49)</f>
        <v>343.93769502639771</v>
      </c>
      <c r="J50" s="22">
        <f>[1]!Olekuvorrand(J$4,J$5,J$8,5,J$11,Lähteandmed!$C39,J49)</f>
        <v>343.29289197921753</v>
      </c>
      <c r="K50" s="22">
        <f>[1]!Olekuvorrand(K$4,K$5,K$8,5,K$11,Lähteandmed!$C39,K49)</f>
        <v>336.92389726638794</v>
      </c>
      <c r="L50" s="22">
        <f>[1]!Olekuvorrand(L$4,L$5,L$8,5,L$11,Lähteandmed!$C39,L49)</f>
        <v>335.18213033676147</v>
      </c>
      <c r="M50" s="22">
        <f>[1]!Olekuvorrand(M$4,M$5,M$8,5,M$11,Lähteandmed!$C39,M49)</f>
        <v>350.62628984451294</v>
      </c>
      <c r="N50" s="22">
        <f>[1]!Olekuvorrand(N$4,N$5,N$8,5,N$11,Lähteandmed!$C39,N49)</f>
        <v>349.95287656784058</v>
      </c>
      <c r="O50" s="22">
        <f>[1]!Olekuvorrand(O$4,O$5,O$8,5,O$11,Lähteandmed!$C39,O49)</f>
        <v>342.48644113540649</v>
      </c>
      <c r="P50" s="22">
        <f>[1]!Olekuvorrand(P$4,P$5,P$8,5,P$11,Lähteandmed!$C39,P49)</f>
        <v>334.09970998764038</v>
      </c>
      <c r="Q50" s="22">
        <f>[1]!Olekuvorrand(Q$4,Q$5,Q$8,5,Q$11,Lähteandmed!$C39,Q49)</f>
        <v>337.33159303665161</v>
      </c>
      <c r="R50" s="22">
        <f>[1]!Olekuvorrand(R$4,R$5,R$8,5,R$11,Lähteandmed!$C39,R49)</f>
        <v>345.90357542037964</v>
      </c>
      <c r="S50" s="22"/>
    </row>
    <row r="51" spans="2:19" x14ac:dyDescent="0.2">
      <c r="B51" s="174"/>
      <c r="C51" s="148" t="s">
        <v>105</v>
      </c>
      <c r="D51" s="9">
        <f>[1]!ripe(D50,D$11+Lähteandmed!$E39*$D$13,D$4,0)</f>
        <v>6.3435035705067726</v>
      </c>
      <c r="E51" s="9">
        <f>[1]!ripe(E50,E$11+Lähteandmed!$E39*$D$13,E$4,0)</f>
        <v>6.2501016569273924</v>
      </c>
      <c r="F51" s="9">
        <f>[1]!ripe(F50,F$11+Lähteandmed!$E39*$D$13,F$4,0)</f>
        <v>6.1638064105648898</v>
      </c>
      <c r="G51" s="9">
        <f>[1]!ripe(G50,G$11+Lähteandmed!$E39*$D$13,G$4,0)</f>
        <v>4.1306198045747227</v>
      </c>
      <c r="H51" s="9">
        <f>[1]!ripe(H50,H$11+Lähteandmed!$E39*$D$13,H$4,0)</f>
        <v>5.8940720463904706</v>
      </c>
      <c r="I51" s="9">
        <f>[1]!ripe(I50,I$11+Lähteandmed!$E39*$D$13,I$4,0)</f>
        <v>5.7059313479088418</v>
      </c>
      <c r="J51" s="9">
        <f>[1]!ripe(J50,J$11+Lähteandmed!$E39*$D$13,J$4,0)</f>
        <v>5.3560683588656364</v>
      </c>
      <c r="K51" s="9">
        <f>[1]!ripe(K50,K$11+Lähteandmed!$E39*$D$13,K$4,0)</f>
        <v>7.2133639107225473</v>
      </c>
      <c r="L51" s="9">
        <f>[1]!ripe(L50,L$11+Lähteandmed!$E39*$D$13,L$4,0)</f>
        <v>5.4909025891549623</v>
      </c>
      <c r="M51" s="9">
        <f>[1]!ripe(M50,M$11+Lähteandmed!$E39*$D$13,M$4,0)</f>
        <v>6.8469442058760777</v>
      </c>
      <c r="N51" s="9">
        <f>[1]!ripe(N50,N$11+Lähteandmed!$E39*$D$13,N$4,0)</f>
        <v>6.7111311346569833</v>
      </c>
      <c r="O51" s="9">
        <f>[1]!ripe(O50,O$11+Lähteandmed!$E39*$D$13,O$4,0)</f>
        <v>5.3481880429880206</v>
      </c>
      <c r="P51" s="9">
        <f>[1]!ripe(P50,P$11+Lähteandmed!$E39*$D$13,P$4,0)</f>
        <v>4.2777247365558999</v>
      </c>
      <c r="Q51" s="9">
        <f>[1]!ripe(Q50,Q$11+Lähteandmed!$E39*$D$13,Q$4,0)</f>
        <v>4.5234998068770933</v>
      </c>
      <c r="R51" s="9">
        <f>[1]!ripe(R50,R$11+Lähteandmed!$E39*$D$13,R$4,0)</f>
        <v>5.81150724820092</v>
      </c>
      <c r="S51" s="9"/>
    </row>
    <row r="52" spans="2:19" x14ac:dyDescent="0.2">
      <c r="B52" s="174"/>
      <c r="C52" s="148" t="s">
        <v>49</v>
      </c>
      <c r="D52" s="51">
        <f t="shared" ref="D52:Q52" si="19">D51/D$4^2*1000000</f>
        <v>31.718795508944616</v>
      </c>
      <c r="E52" s="51">
        <f t="shared" si="19"/>
        <v>31.786534481089614</v>
      </c>
      <c r="F52" s="51">
        <f t="shared" si="19"/>
        <v>31.791746229332823</v>
      </c>
      <c r="G52" s="51">
        <f t="shared" si="19"/>
        <v>33.190663495062566</v>
      </c>
      <c r="H52" s="51">
        <f t="shared" si="19"/>
        <v>31.90423016237818</v>
      </c>
      <c r="I52" s="51">
        <f t="shared" si="19"/>
        <v>32.056997138505579</v>
      </c>
      <c r="J52" s="51">
        <f t="shared" si="19"/>
        <v>32.117209423470712</v>
      </c>
      <c r="K52" s="51">
        <f t="shared" si="19"/>
        <v>32.724332689788604</v>
      </c>
      <c r="L52" s="51">
        <f t="shared" si="19"/>
        <v>32.894384000149039</v>
      </c>
      <c r="M52" s="51">
        <f t="shared" si="19"/>
        <v>31.445473498792126</v>
      </c>
      <c r="N52" s="51">
        <f t="shared" si="19"/>
        <v>31.505983929662175</v>
      </c>
      <c r="O52" s="51">
        <f t="shared" si="19"/>
        <v>32.19283563090405</v>
      </c>
      <c r="P52" s="51">
        <f t="shared" si="19"/>
        <v>33.000955629962434</v>
      </c>
      <c r="Q52" s="51">
        <f t="shared" si="19"/>
        <v>32.684782371058517</v>
      </c>
      <c r="R52" s="51">
        <f>R51/R$4^2*1000000</f>
        <v>31.874806994654268</v>
      </c>
      <c r="S52" s="51"/>
    </row>
    <row r="53" spans="2:19" ht="38.25" x14ac:dyDescent="0.2">
      <c r="B53" s="173" t="str">
        <f>Lähteandmed!B42</f>
        <v>EDS</v>
      </c>
      <c r="C53" s="147" t="s">
        <v>222</v>
      </c>
      <c r="D53" s="6">
        <f>SQRT((kaalutegur R_7*[1]!juhe(D5,6)+jaitetegur R_7*[1]!Jaitekoormus_EN(D$5,JaideJ,hj))^2+(tuuletegur R_7*[1]!Tuulekoormus_en(D$5,Qt,ht,zo,D$4,JaideJ,jaitetegur R_7))^2)</f>
        <v>6.25E-2</v>
      </c>
      <c r="E53" s="6">
        <f>SQRT((kaalutegur R_7*[1]!juhe(E5,6)+jaitetegur R_7*[1]!Jaitekoormus_EN(E$5,JaideJ,hj))^2+(tuuletegur R_7*[1]!Tuulekoormus_en(E$5,Qt,ht,zo,E$4,JaideJ,jaitetegur R_7))^2)</f>
        <v>6.25E-2</v>
      </c>
      <c r="F53" s="6">
        <f>SQRT((kaalutegur R_7*[1]!juhe(F5,6)+jaitetegur R_7*[1]!Jaitekoormus_EN(F$5,JaideJ,hj))^2+(tuuletegur R_7*[1]!Tuulekoormus_en(F$5,Qt,ht,zo,F$4,JaideJ,jaitetegur R_7))^2)</f>
        <v>6.25E-2</v>
      </c>
      <c r="G53" s="6">
        <f>SQRT((kaalutegur R_7*[1]!juhe(G5,6)+jaitetegur R_7*[1]!Jaitekoormus_EN(G$5,JaideJ,hj))^2+(tuuletegur R_7*[1]!Tuulekoormus_en(G$5,Qt,ht,zo,G$4,JaideJ,jaitetegur R_7))^2)</f>
        <v>6.25E-2</v>
      </c>
      <c r="H53" s="6">
        <f>SQRT((kaalutegur R_7*[1]!juhe(H5,6)+jaitetegur R_7*[1]!Jaitekoormus_EN(H$5,JaideJ,hj))^2+(tuuletegur R_7*[1]!Tuulekoormus_en(H$5,Qt,ht,zo,H$4,JaideJ,jaitetegur R_7))^2)</f>
        <v>6.25E-2</v>
      </c>
      <c r="I53" s="6">
        <f>SQRT((kaalutegur R_7*[1]!juhe(I5,6)+jaitetegur R_7*[1]!Jaitekoormus_EN(I$5,JaideJ,hj))^2+(tuuletegur R_7*[1]!Tuulekoormus_en(I$5,Qt,ht,zo,I$4,JaideJ,jaitetegur R_7))^2)</f>
        <v>6.25E-2</v>
      </c>
      <c r="J53" s="6">
        <f>SQRT((kaalutegur R_7*[1]!juhe(J5,6)+jaitetegur R_7*[1]!Jaitekoormus_EN(J$5,JaideJ,hj))^2+(tuuletegur R_7*[1]!Tuulekoormus_en(J$5,Qt,ht,zo,J$4,JaideJ,jaitetegur R_7))^2)</f>
        <v>6.25E-2</v>
      </c>
      <c r="K53" s="6">
        <f>SQRT((kaalutegur R_7*[1]!juhe(K5,6)+jaitetegur R_7*[1]!Jaitekoormus_EN(K$5,JaideJ,hj))^2+(tuuletegur R_7*[1]!Tuulekoormus_en(K$5,Qt,ht,zo,K$4,JaideJ,jaitetegur R_7))^2)</f>
        <v>6.25E-2</v>
      </c>
      <c r="L53" s="6">
        <f>SQRT((kaalutegur R_7*[1]!juhe(L5,6)+jaitetegur R_7*[1]!Jaitekoormus_EN(L$5,JaideJ,hj))^2+(tuuletegur R_7*[1]!Tuulekoormus_en(L$5,Qt,ht,zo,L$4,JaideJ,jaitetegur R_7))^2)</f>
        <v>6.25E-2</v>
      </c>
      <c r="M53" s="6">
        <f>SQRT((kaalutegur R_7*[1]!juhe(M5,6)+jaitetegur R_7*[1]!Jaitekoormus_EN(M$5,JaideJ,hj))^2+(tuuletegur R_7*[1]!Tuulekoormus_en(M$5,Qt,ht,zo,M$4,JaideJ,jaitetegur R_7))^2)</f>
        <v>6.25E-2</v>
      </c>
      <c r="N53" s="6">
        <f>SQRT((kaalutegur R_7*[1]!juhe(N5,6)+jaitetegur R_7*[1]!Jaitekoormus_EN(N$5,JaideJ,hj))^2+(tuuletegur R_7*[1]!Tuulekoormus_en(N$5,Qt,ht,zo,N$4,JaideJ,jaitetegur R_7))^2)</f>
        <v>6.25E-2</v>
      </c>
      <c r="O53" s="6">
        <f>SQRT((kaalutegur R_7*[1]!juhe(O5,6)+jaitetegur R_7*[1]!Jaitekoormus_EN(O$5,JaideJ,hj))^2+(tuuletegur R_7*[1]!Tuulekoormus_en(O$5,Qt,ht,zo,O$4,JaideJ,jaitetegur R_7))^2)</f>
        <v>6.25E-2</v>
      </c>
      <c r="P53" s="6">
        <f>SQRT((kaalutegur R_7*[1]!juhe(P5,6)+jaitetegur R_7*[1]!Jaitekoormus_EN(P$5,JaideJ,hj))^2+(tuuletegur R_7*[1]!Tuulekoormus_en(P$5,Qt,ht,zo,P$4,JaideJ,jaitetegur R_7))^2)</f>
        <v>6.25E-2</v>
      </c>
      <c r="Q53" s="6">
        <f>SQRT((kaalutegur R_7*[1]!juhe(Q5,6)+jaitetegur R_7*[1]!Jaitekoormus_EN(Q$5,JaideJ,hj))^2+(tuuletegur R_7*[1]!Tuulekoormus_en(Q$5,Qt,ht,zo,Q$4,JaideJ,jaitetegur R_7))^2)</f>
        <v>6.25E-2</v>
      </c>
      <c r="R53" s="6">
        <f>SQRT((kaalutegur R_7*[1]!juhe(R5,6)+jaitetegur R_7*[1]!Jaitekoormus_EN(R$5,JaideJ,hj))^2+(tuuletegur R_7*[1]!Tuulekoormus_en(R$5,Qt,ht,zo,R$4,JaideJ,jaitetegur R_7))^2)</f>
        <v>6.25E-2</v>
      </c>
      <c r="S53" s="6"/>
    </row>
    <row r="54" spans="2:19" x14ac:dyDescent="0.2">
      <c r="B54" s="173"/>
      <c r="C54" s="147" t="s">
        <v>104</v>
      </c>
      <c r="D54" s="3">
        <f>[1]!Olekuvorrand(D$4,D$5,D$8,5,D$11,Lähteandmed!$C42,D53)</f>
        <v>133.93706083297729</v>
      </c>
      <c r="E54" s="3">
        <f>[1]!Olekuvorrand(E$4,E$5,E$8,5,E$11,Lähteandmed!$C42,E53)</f>
        <v>133.97938013076782</v>
      </c>
      <c r="F54" s="3">
        <f>[1]!Olekuvorrand(F$4,F$5,F$8,5,F$11,Lähteandmed!$C42,F53)</f>
        <v>134.45252180099487</v>
      </c>
      <c r="G54" s="3">
        <f>[1]!Olekuvorrand(G$4,G$5,G$8,5,G$11,Lähteandmed!$C42,G53)</f>
        <v>141.54022932052612</v>
      </c>
      <c r="H54" s="3">
        <f>[1]!Olekuvorrand(H$4,H$5,H$8,5,H$11,Lähteandmed!$C42,H53)</f>
        <v>135.31893491744995</v>
      </c>
      <c r="I54" s="3">
        <f>[1]!Olekuvorrand(I$4,I$5,I$8,5,I$11,Lähteandmed!$C42,I53)</f>
        <v>135.45137643814087</v>
      </c>
      <c r="J54" s="3">
        <f>[1]!Olekuvorrand(J$4,J$5,J$8,5,J$11,Lähteandmed!$C42,J53)</f>
        <v>137.62706518173218</v>
      </c>
      <c r="K54" s="3">
        <f>[1]!Olekuvorrand(K$4,K$5,K$8,5,K$11,Lähteandmed!$C42,K53)</f>
        <v>123.30502271652222</v>
      </c>
      <c r="L54" s="3">
        <f>[1]!Olekuvorrand(L$4,L$5,L$8,5,L$11,Lähteandmed!$C42,L53)</f>
        <v>130.84131479263306</v>
      </c>
      <c r="M54" s="3">
        <f>[1]!Olekuvorrand(M$4,M$5,M$8,5,M$11,Lähteandmed!$C42,M53)</f>
        <v>133.26317071914673</v>
      </c>
      <c r="N54" s="3">
        <f>[1]!Olekuvorrand(N$4,N$5,N$8,5,N$11,Lähteandmed!$C42,N53)</f>
        <v>133.50528478622437</v>
      </c>
      <c r="O54" s="3">
        <f>[1]!Olekuvorrand(O$4,O$5,O$8,5,O$11,Lähteandmed!$C42,O53)</f>
        <v>137.10087537765503</v>
      </c>
      <c r="P54" s="3">
        <f>[1]!Olekuvorrand(P$4,P$5,P$8,5,P$11,Lähteandmed!$C42,P53)</f>
        <v>141.2627100944519</v>
      </c>
      <c r="Q54" s="3">
        <f>[1]!Olekuvorrand(Q$4,Q$5,Q$8,5,Q$11,Lähteandmed!$C42,Q53)</f>
        <v>141.00223779678345</v>
      </c>
      <c r="R54" s="3">
        <f>[1]!Olekuvorrand(R$4,R$5,R$8,5,R$11,Lähteandmed!$C42,R53)</f>
        <v>136.09796762466431</v>
      </c>
      <c r="S54" s="3"/>
    </row>
    <row r="55" spans="2:19" ht="13.5" customHeight="1" x14ac:dyDescent="0.2">
      <c r="B55" s="173"/>
      <c r="C55" s="147" t="s">
        <v>105</v>
      </c>
      <c r="D55" s="3">
        <f>[1]!ripe(D54,D$11+Lähteandmed!$E42*$D$13,D$4,0)</f>
        <v>11.665457279962656</v>
      </c>
      <c r="E55" s="3">
        <f>[1]!ripe(E54,E$11+Lähteandmed!$E42*$D$13,E$4,0)</f>
        <v>11.465578330425958</v>
      </c>
      <c r="F55" s="3">
        <f>[1]!ripe(F54,F$11+Lähteandmed!$E42*$D$13,F$4,0)</f>
        <v>11.265635230321832</v>
      </c>
      <c r="G55" s="3">
        <f>[1]!ripe(G54,G$11+Lähteandmed!$E42*$D$13,G$4,0)</f>
        <v>6.8692516098980336</v>
      </c>
      <c r="H55" s="3">
        <f>[1]!ripe(H54,H$11+Lähteandmed!$E42*$D$13,H$4,0)</f>
        <v>10.665927565116659</v>
      </c>
      <c r="I55" s="3">
        <f>[1]!ripe(I54,I$11+Lähteandmed!$E42*$D$13,I$4,0)</f>
        <v>10.266213962370522</v>
      </c>
      <c r="J55" s="3">
        <f>[1]!ripe(J54,J$11+Lähteandmed!$E42*$D$13,J$4,0)</f>
        <v>9.466610074711344</v>
      </c>
      <c r="K55" s="3">
        <f>[1]!ripe(K54,K$11+Lähteandmed!$E42*$D$13,K$4,0)</f>
        <v>13.966137268508437</v>
      </c>
      <c r="L55" s="3">
        <f>[1]!ripe(L54,L$11+Lähteandmed!$E42*$D$13,L$4,0)</f>
        <v>9.9670609036560212</v>
      </c>
      <c r="M55" s="3">
        <f>[1]!ripe(M54,M$11+Lähteandmed!$E42*$D$13,M$4,0)</f>
        <v>12.764932965387533</v>
      </c>
      <c r="N55" s="3">
        <f>[1]!ripe(N54,N$11+Lähteandmed!$E42*$D$13,N$4,0)</f>
        <v>12.46505647939669</v>
      </c>
      <c r="O55" s="3">
        <f>[1]!ripe(O54,O$11+Lähteandmed!$E42*$D$13,O$4,0)</f>
        <v>9.466670019463221</v>
      </c>
      <c r="P55" s="3">
        <f>[1]!ripe(P54,P$11+Lähteandmed!$E42*$D$13,P$4,0)</f>
        <v>7.1688388092064761</v>
      </c>
      <c r="Q55" s="3">
        <f>[1]!ripe(Q54,Q$11+Lähteandmed!$E42*$D$13,Q$4,0)</f>
        <v>7.668192444917695</v>
      </c>
      <c r="R55" s="3">
        <f>[1]!ripe(R54,R$11+Lähteandmed!$E42*$D$13,R$4,0)</f>
        <v>10.465973012742511</v>
      </c>
      <c r="S55" s="3"/>
    </row>
    <row r="56" spans="2:19" x14ac:dyDescent="0.2">
      <c r="B56" s="173"/>
      <c r="C56" s="147" t="s">
        <v>49</v>
      </c>
      <c r="D56" s="50">
        <f t="shared" ref="D56:Q56" si="20">D55/D$4^2*1000000</f>
        <v>58.329635960448414</v>
      </c>
      <c r="E56" s="50">
        <f t="shared" si="20"/>
        <v>58.31121171313653</v>
      </c>
      <c r="F56" s="50">
        <f t="shared" si="20"/>
        <v>58.106013151344193</v>
      </c>
      <c r="G56" s="50">
        <f t="shared" si="20"/>
        <v>55.196321480503869</v>
      </c>
      <c r="H56" s="50">
        <f t="shared" si="20"/>
        <v>57.733974958980745</v>
      </c>
      <c r="I56" s="50">
        <f t="shared" si="20"/>
        <v>57.677523886720202</v>
      </c>
      <c r="J56" s="50">
        <f t="shared" si="20"/>
        <v>56.765724021534872</v>
      </c>
      <c r="K56" s="50">
        <f t="shared" si="20"/>
        <v>63.35913840234155</v>
      </c>
      <c r="L56" s="50">
        <f t="shared" si="20"/>
        <v>59.7097332167735</v>
      </c>
      <c r="M56" s="50">
        <f t="shared" si="20"/>
        <v>58.624599413628772</v>
      </c>
      <c r="N56" s="50">
        <f t="shared" si="20"/>
        <v>58.518282721989493</v>
      </c>
      <c r="O56" s="50">
        <f t="shared" si="20"/>
        <v>56.983589480955978</v>
      </c>
      <c r="P56" s="50">
        <f t="shared" si="20"/>
        <v>55.304758026915671</v>
      </c>
      <c r="Q56" s="50">
        <f t="shared" si="20"/>
        <v>55.406922060766178</v>
      </c>
      <c r="R56" s="50">
        <f>R55/R$4^2*1000000</f>
        <v>57.403502317871371</v>
      </c>
      <c r="S56" s="50"/>
    </row>
    <row r="57" spans="2:19" ht="38.25" x14ac:dyDescent="0.2">
      <c r="B57" s="174" t="str">
        <f>Lähteandmed!B45</f>
        <v>T+35</v>
      </c>
      <c r="C57" s="148" t="s">
        <v>222</v>
      </c>
      <c r="D57" s="9">
        <f>SQRT((kaalutegur R_8*[1]!juhe(D5,6)+jaitetegur R_8*[1]!Jaitekoormus_EN(D$5,JaideJ,hj))^2+(tuuletegur R_8*[1]!Tuulekoormus_en(D$5,Qt,ht,zo,D$4,JaideJ,jaitetegur R_8))^2)</f>
        <v>6.25E-2</v>
      </c>
      <c r="E57" s="9">
        <f>SQRT((kaalutegur R_8*[1]!juhe(E5,6)+jaitetegur R_8*[1]!Jaitekoormus_EN(E$5,JaideJ,hj))^2+(tuuletegur R_8*[1]!Tuulekoormus_en(E$5,Qt,ht,zo,E$4,JaideJ,jaitetegur R_8))^2)</f>
        <v>6.25E-2</v>
      </c>
      <c r="F57" s="9">
        <f>SQRT((kaalutegur R_8*[1]!juhe(F5,6)+jaitetegur R_8*[1]!Jaitekoormus_EN(F$5,JaideJ,hj))^2+(tuuletegur R_8*[1]!Tuulekoormus_en(F$5,Qt,ht,zo,F$4,JaideJ,jaitetegur R_8))^2)</f>
        <v>6.25E-2</v>
      </c>
      <c r="G57" s="9">
        <f>SQRT((kaalutegur R_8*[1]!juhe(G5,6)+jaitetegur R_8*[1]!Jaitekoormus_EN(G$5,JaideJ,hj))^2+(tuuletegur R_8*[1]!Tuulekoormus_en(G$5,Qt,ht,zo,G$4,JaideJ,jaitetegur R_8))^2)</f>
        <v>6.25E-2</v>
      </c>
      <c r="H57" s="9">
        <f>SQRT((kaalutegur R_8*[1]!juhe(H5,6)+jaitetegur R_8*[1]!Jaitekoormus_EN(H$5,JaideJ,hj))^2+(tuuletegur R_8*[1]!Tuulekoormus_en(H$5,Qt,ht,zo,H$4,JaideJ,jaitetegur R_8))^2)</f>
        <v>6.25E-2</v>
      </c>
      <c r="I57" s="9">
        <f>SQRT((kaalutegur R_8*[1]!juhe(I5,6)+jaitetegur R_8*[1]!Jaitekoormus_EN(I$5,JaideJ,hj))^2+(tuuletegur R_8*[1]!Tuulekoormus_en(I$5,Qt,ht,zo,I$4,JaideJ,jaitetegur R_8))^2)</f>
        <v>6.25E-2</v>
      </c>
      <c r="J57" s="9">
        <f>SQRT((kaalutegur R_8*[1]!juhe(J5,6)+jaitetegur R_8*[1]!Jaitekoormus_EN(J$5,JaideJ,hj))^2+(tuuletegur R_8*[1]!Tuulekoormus_en(J$5,Qt,ht,zo,J$4,JaideJ,jaitetegur R_8))^2)</f>
        <v>6.25E-2</v>
      </c>
      <c r="K57" s="9">
        <f>SQRT((kaalutegur R_8*[1]!juhe(K5,6)+jaitetegur R_8*[1]!Jaitekoormus_EN(K$5,JaideJ,hj))^2+(tuuletegur R_8*[1]!Tuulekoormus_en(K$5,Qt,ht,zo,K$4,JaideJ,jaitetegur R_8))^2)</f>
        <v>6.25E-2</v>
      </c>
      <c r="L57" s="9">
        <f>SQRT((kaalutegur R_8*[1]!juhe(L5,6)+jaitetegur R_8*[1]!Jaitekoormus_EN(L$5,JaideJ,hj))^2+(tuuletegur R_8*[1]!Tuulekoormus_en(L$5,Qt,ht,zo,L$4,JaideJ,jaitetegur R_8))^2)</f>
        <v>6.25E-2</v>
      </c>
      <c r="M57" s="9">
        <f>SQRT((kaalutegur R_8*[1]!juhe(M5,6)+jaitetegur R_8*[1]!Jaitekoormus_EN(M$5,JaideJ,hj))^2+(tuuletegur R_8*[1]!Tuulekoormus_en(M$5,Qt,ht,zo,M$4,JaideJ,jaitetegur R_8))^2)</f>
        <v>6.25E-2</v>
      </c>
      <c r="N57" s="9">
        <f>SQRT((kaalutegur R_8*[1]!juhe(N5,6)+jaitetegur R_8*[1]!Jaitekoormus_EN(N$5,JaideJ,hj))^2+(tuuletegur R_8*[1]!Tuulekoormus_en(N$5,Qt,ht,zo,N$4,JaideJ,jaitetegur R_8))^2)</f>
        <v>6.25E-2</v>
      </c>
      <c r="O57" s="9">
        <f>SQRT((kaalutegur R_8*[1]!juhe(O5,6)+jaitetegur R_8*[1]!Jaitekoormus_EN(O$5,JaideJ,hj))^2+(tuuletegur R_8*[1]!Tuulekoormus_en(O$5,Qt,ht,zo,O$4,JaideJ,jaitetegur R_8))^2)</f>
        <v>6.25E-2</v>
      </c>
      <c r="P57" s="9">
        <f>SQRT((kaalutegur R_8*[1]!juhe(P5,6)+jaitetegur R_8*[1]!Jaitekoormus_EN(P$5,JaideJ,hj))^2+(tuuletegur R_8*[1]!Tuulekoormus_en(P$5,Qt,ht,zo,P$4,JaideJ,jaitetegur R_8))^2)</f>
        <v>6.25E-2</v>
      </c>
      <c r="Q57" s="9">
        <f>SQRT((kaalutegur R_8*[1]!juhe(Q5,6)+jaitetegur R_8*[1]!Jaitekoormus_EN(Q$5,JaideJ,hj))^2+(tuuletegur R_8*[1]!Tuulekoormus_en(Q$5,Qt,ht,zo,Q$4,JaideJ,jaitetegur R_8))^2)</f>
        <v>6.25E-2</v>
      </c>
      <c r="R57" s="9">
        <f>SQRT((kaalutegur R_8*[1]!juhe(R5,6)+jaitetegur R_8*[1]!Jaitekoormus_EN(R$5,JaideJ,hj))^2+(tuuletegur R_8*[1]!Tuulekoormus_en(R$5,Qt,ht,zo,R$4,JaideJ,jaitetegur R_8))^2)</f>
        <v>6.25E-2</v>
      </c>
      <c r="S57" s="9"/>
    </row>
    <row r="58" spans="2:19" x14ac:dyDescent="0.2">
      <c r="B58" s="174"/>
      <c r="C58" s="148" t="s">
        <v>104</v>
      </c>
      <c r="D58" s="22">
        <f>[1]!Olekuvorrand(D$4,D$5,D$8,5,D$11,Lähteandmed!$C45,D57)</f>
        <v>132.75903463363647</v>
      </c>
      <c r="E58" s="22">
        <f>[1]!Olekuvorrand(E$4,E$5,E$8,5,E$11,Lähteandmed!$C45,E57)</f>
        <v>132.78478384017944</v>
      </c>
      <c r="F58" s="22">
        <f>[1]!Olekuvorrand(F$4,F$5,F$8,5,F$11,Lähteandmed!$C45,F57)</f>
        <v>133.23467969894409</v>
      </c>
      <c r="G58" s="22">
        <f>[1]!Olekuvorrand(G$4,G$5,G$8,5,G$11,Lähteandmed!$C45,G57)</f>
        <v>139.66482877731323</v>
      </c>
      <c r="H58" s="22">
        <f>[1]!Olekuvorrand(H$4,H$5,H$8,5,H$11,Lähteandmed!$C45,H57)</f>
        <v>134.03588533401489</v>
      </c>
      <c r="I58" s="22">
        <f>[1]!Olekuvorrand(I$4,I$5,I$8,5,I$11,Lähteandmed!$C45,I57)</f>
        <v>134.1283917427063</v>
      </c>
      <c r="J58" s="22">
        <f>[1]!Olekuvorrand(J$4,J$5,J$8,5,J$11,Lähteandmed!$C45,J57)</f>
        <v>136.18713617324829</v>
      </c>
      <c r="K58" s="22">
        <f>[1]!Olekuvorrand(K$4,K$5,K$8,5,K$11,Lähteandmed!$C45,K57)</f>
        <v>122.41560220718384</v>
      </c>
      <c r="L58" s="22">
        <f>[1]!Olekuvorrand(L$4,L$5,L$8,5,L$11,Lähteandmed!$C45,L57)</f>
        <v>129.558265209198</v>
      </c>
      <c r="M58" s="22">
        <f>[1]!Olekuvorrand(M$4,M$5,M$8,5,M$11,Lähteandmed!$C45,M57)</f>
        <v>132.17514753341675</v>
      </c>
      <c r="N58" s="22">
        <f>[1]!Olekuvorrand(N$4,N$5,N$8,5,N$11,Lähteandmed!$C45,N57)</f>
        <v>132.39318132400513</v>
      </c>
      <c r="O58" s="22">
        <f>[1]!Olekuvorrand(O$4,O$5,O$8,5,O$11,Lähteandmed!$C45,O57)</f>
        <v>135.66917181015015</v>
      </c>
      <c r="P58" s="22">
        <f>[1]!Olekuvorrand(P$4,P$5,P$8,5,P$11,Lähteandmed!$C45,P57)</f>
        <v>139.44464921951294</v>
      </c>
      <c r="Q58" s="22">
        <f>[1]!Olekuvorrand(Q$4,Q$5,Q$8,5,Q$11,Lähteandmed!$C45,Q57)</f>
        <v>139.26976919174194</v>
      </c>
      <c r="R58" s="22">
        <f>[1]!Olekuvorrand(R$4,R$5,R$8,5,R$11,Lähteandmed!$C45,R57)</f>
        <v>134.78463888168335</v>
      </c>
      <c r="S58" s="22"/>
    </row>
    <row r="59" spans="2:19" x14ac:dyDescent="0.2">
      <c r="B59" s="174"/>
      <c r="C59" s="148" t="s">
        <v>105</v>
      </c>
      <c r="D59" s="9">
        <f>[1]!ripe(D58,D$11+Lähteandmed!$E45*$D$13,D$4,0)</f>
        <v>11.76896974027099</v>
      </c>
      <c r="E59" s="9">
        <f>[1]!ripe(E58,E$11+Lähteandmed!$E45*$D$13,E$4,0)</f>
        <v>11.568728231693733</v>
      </c>
      <c r="F59" s="9">
        <f>[1]!ripe(F58,F$11+Lähteandmed!$E45*$D$13,F$4,0)</f>
        <v>11.368609658007129</v>
      </c>
      <c r="G59" s="9">
        <f>[1]!ripe(G58,G$11+Lähteandmed!$E45*$D$13,G$4,0)</f>
        <v>6.9614909969609666</v>
      </c>
      <c r="H59" s="9">
        <f>[1]!ripe(H58,H$11+Lähteandmed!$E45*$D$13,H$4,0)</f>
        <v>10.768026446213081</v>
      </c>
      <c r="I59" s="9">
        <f>[1]!ripe(I58,I$11+Lähteandmed!$E45*$D$13,I$4,0)</f>
        <v>10.367475475878615</v>
      </c>
      <c r="J59" s="9">
        <f>[1]!ripe(J58,J$11+Lähteandmed!$E45*$D$13,J$4,0)</f>
        <v>9.5667021013271469</v>
      </c>
      <c r="K59" s="9">
        <f>[1]!ripe(K58,K$11+Lähteandmed!$E45*$D$13,K$4,0)</f>
        <v>14.067609374178621</v>
      </c>
      <c r="L59" s="9">
        <f>[1]!ripe(L58,L$11+Lähteandmed!$E45*$D$13,L$4,0)</f>
        <v>10.065767329833145</v>
      </c>
      <c r="M59" s="9">
        <f>[1]!ripe(M58,M$11+Lähteandmed!$E45*$D$13,M$4,0)</f>
        <v>12.870009776647526</v>
      </c>
      <c r="N59" s="9">
        <f>[1]!ripe(N58,N$11+Lähteandmed!$E45*$D$13,N$4,0)</f>
        <v>12.569763023410992</v>
      </c>
      <c r="O59" s="9">
        <f>[1]!ripe(O58,O$11+Lähteandmed!$E45*$D$13,O$4,0)</f>
        <v>9.5665708669322633</v>
      </c>
      <c r="P59" s="9">
        <f>[1]!ripe(P58,P$11+Lähteandmed!$E45*$D$13,P$4,0)</f>
        <v>7.262305180492227</v>
      </c>
      <c r="Q59" s="9">
        <f>[1]!ripe(Q58,Q$11+Lähteandmed!$E45*$D$13,Q$4,0)</f>
        <v>7.7635821532896978</v>
      </c>
      <c r="R59" s="9">
        <f>[1]!ripe(R58,R$11+Lähteandmed!$E45*$D$13,R$4,0)</f>
        <v>10.567952461550203</v>
      </c>
      <c r="S59" s="9"/>
    </row>
    <row r="60" spans="2:19" x14ac:dyDescent="0.2">
      <c r="B60" s="174"/>
      <c r="C60" s="148" t="s">
        <v>49</v>
      </c>
      <c r="D60" s="51">
        <f t="shared" ref="D60:Q60" si="21">D59/D$4^2*1000000</f>
        <v>58.847219110620038</v>
      </c>
      <c r="E60" s="51">
        <f t="shared" si="21"/>
        <v>58.835807643465927</v>
      </c>
      <c r="F60" s="51">
        <f t="shared" si="21"/>
        <v>58.637135749138707</v>
      </c>
      <c r="G60" s="51">
        <f t="shared" si="21"/>
        <v>55.937490264328034</v>
      </c>
      <c r="H60" s="51">
        <f t="shared" si="21"/>
        <v>58.2866295882733</v>
      </c>
      <c r="I60" s="51">
        <f t="shared" si="21"/>
        <v>58.24643014423404</v>
      </c>
      <c r="J60" s="51">
        <f t="shared" si="21"/>
        <v>57.365917365803575</v>
      </c>
      <c r="K60" s="51">
        <f t="shared" si="21"/>
        <v>63.819479373042952</v>
      </c>
      <c r="L60" s="51">
        <f t="shared" si="21"/>
        <v>60.301054412739632</v>
      </c>
      <c r="M60" s="51">
        <f t="shared" si="21"/>
        <v>59.107178208557173</v>
      </c>
      <c r="N60" s="51">
        <f t="shared" si="21"/>
        <v>59.009836623538121</v>
      </c>
      <c r="O60" s="51">
        <f t="shared" si="21"/>
        <v>57.584931755406387</v>
      </c>
      <c r="P60" s="51">
        <f t="shared" si="21"/>
        <v>56.025814140072235</v>
      </c>
      <c r="Q60" s="51">
        <f t="shared" si="21"/>
        <v>56.096165343995168</v>
      </c>
      <c r="R60" s="51">
        <f>R59/R$4^2*1000000</f>
        <v>57.962836602307249</v>
      </c>
      <c r="S60" s="51"/>
    </row>
    <row r="61" spans="2:19" ht="38.25" x14ac:dyDescent="0.2">
      <c r="B61" s="173" t="str">
        <f>Lähteandmed!B48</f>
        <v>T +15</v>
      </c>
      <c r="C61" s="147" t="s">
        <v>222</v>
      </c>
      <c r="D61" s="6">
        <f>SQRT((kaalutegur R_9*[1]!juhe(D5,6)+jaitetegur R_9*[1]!Jaitekoormus_EN(D$5,JaideJ,hj))^2+(tuuletegur R_9*[1]!Tuulekoormus_en(D$5,Qt,ht,zo,D$4,JaideJ,jaitetegur R_9))^2)</f>
        <v>6.25E-2</v>
      </c>
      <c r="E61" s="6">
        <f>SQRT((kaalutegur R_9*[1]!juhe(E5,6)+jaitetegur R_9*[1]!Jaitekoormus_EN(E$5,JaideJ,hj))^2+(tuuletegur R_9*[1]!Tuulekoormus_en(E$5,Qt,ht,zo,E$4,JaideJ,jaitetegur R_9))^2)</f>
        <v>6.25E-2</v>
      </c>
      <c r="F61" s="6">
        <f>SQRT((kaalutegur R_9*[1]!juhe(F5,6)+jaitetegur R_9*[1]!Jaitekoormus_EN(F$5,JaideJ,hj))^2+(tuuletegur R_9*[1]!Tuulekoormus_en(F$5,Qt,ht,zo,F$4,JaideJ,jaitetegur R_9))^2)</f>
        <v>6.25E-2</v>
      </c>
      <c r="G61" s="6">
        <f>SQRT((kaalutegur R_9*[1]!juhe(G5,6)+jaitetegur R_9*[1]!Jaitekoormus_EN(G$5,JaideJ,hj))^2+(tuuletegur R_9*[1]!Tuulekoormus_en(G$5,Qt,ht,zo,G$4,JaideJ,jaitetegur R_9))^2)</f>
        <v>6.25E-2</v>
      </c>
      <c r="H61" s="6">
        <f>SQRT((kaalutegur R_9*[1]!juhe(H5,6)+jaitetegur R_9*[1]!Jaitekoormus_EN(H$5,JaideJ,hj))^2+(tuuletegur R_9*[1]!Tuulekoormus_en(H$5,Qt,ht,zo,H$4,JaideJ,jaitetegur R_9))^2)</f>
        <v>6.25E-2</v>
      </c>
      <c r="I61" s="6">
        <f>SQRT((kaalutegur R_9*[1]!juhe(I5,6)+jaitetegur R_9*[1]!Jaitekoormus_EN(I$5,JaideJ,hj))^2+(tuuletegur R_9*[1]!Tuulekoormus_en(I$5,Qt,ht,zo,I$4,JaideJ,jaitetegur R_9))^2)</f>
        <v>6.25E-2</v>
      </c>
      <c r="J61" s="6">
        <f>SQRT((kaalutegur R_9*[1]!juhe(J5,6)+jaitetegur R_9*[1]!Jaitekoormus_EN(J$5,JaideJ,hj))^2+(tuuletegur R_9*[1]!Tuulekoormus_en(J$5,Qt,ht,zo,J$4,JaideJ,jaitetegur R_9))^2)</f>
        <v>6.25E-2</v>
      </c>
      <c r="K61" s="6">
        <f>SQRT((kaalutegur R_9*[1]!juhe(K5,6)+jaitetegur R_9*[1]!Jaitekoormus_EN(K$5,JaideJ,hj))^2+(tuuletegur R_9*[1]!Tuulekoormus_en(K$5,Qt,ht,zo,K$4,JaideJ,jaitetegur R_9))^2)</f>
        <v>6.25E-2</v>
      </c>
      <c r="L61" s="6">
        <f>SQRT((kaalutegur R_9*[1]!juhe(L5,6)+jaitetegur R_9*[1]!Jaitekoormus_EN(L$5,JaideJ,hj))^2+(tuuletegur R_9*[1]!Tuulekoormus_en(L$5,Qt,ht,zo,L$4,JaideJ,jaitetegur R_9))^2)</f>
        <v>6.25E-2</v>
      </c>
      <c r="M61" s="6">
        <f>SQRT((kaalutegur R_9*[1]!juhe(M5,6)+jaitetegur R_9*[1]!Jaitekoormus_EN(M$5,JaideJ,hj))^2+(tuuletegur R_9*[1]!Tuulekoormus_en(M$5,Qt,ht,zo,M$4,JaideJ,jaitetegur R_9))^2)</f>
        <v>6.25E-2</v>
      </c>
      <c r="N61" s="6">
        <f>SQRT((kaalutegur R_9*[1]!juhe(N5,6)+jaitetegur R_9*[1]!Jaitekoormus_EN(N$5,JaideJ,hj))^2+(tuuletegur R_9*[1]!Tuulekoormus_en(N$5,Qt,ht,zo,N$4,JaideJ,jaitetegur R_9))^2)</f>
        <v>6.25E-2</v>
      </c>
      <c r="O61" s="6">
        <f>SQRT((kaalutegur R_9*[1]!juhe(O5,6)+jaitetegur R_9*[1]!Jaitekoormus_EN(O$5,JaideJ,hj))^2+(tuuletegur R_9*[1]!Tuulekoormus_en(O$5,Qt,ht,zo,O$4,JaideJ,jaitetegur R_9))^2)</f>
        <v>6.25E-2</v>
      </c>
      <c r="P61" s="6">
        <f>SQRT((kaalutegur R_9*[1]!juhe(P5,6)+jaitetegur R_9*[1]!Jaitekoormus_EN(P$5,JaideJ,hj))^2+(tuuletegur R_9*[1]!Tuulekoormus_en(P$5,Qt,ht,zo,P$4,JaideJ,jaitetegur R_9))^2)</f>
        <v>6.25E-2</v>
      </c>
      <c r="Q61" s="6">
        <f>SQRT((kaalutegur R_9*[1]!juhe(Q5,6)+jaitetegur R_9*[1]!Jaitekoormus_EN(Q$5,JaideJ,hj))^2+(tuuletegur R_9*[1]!Tuulekoormus_en(Q$5,Qt,ht,zo,Q$4,JaideJ,jaitetegur R_9))^2)</f>
        <v>6.25E-2</v>
      </c>
      <c r="R61" s="6">
        <f>SQRT((kaalutegur R_9*[1]!juhe(R5,6)+jaitetegur R_9*[1]!Jaitekoormus_EN(R$5,JaideJ,hj))^2+(tuuletegur R_9*[1]!Tuulekoormus_en(R$5,Qt,ht,zo,R$4,JaideJ,jaitetegur R_9))^2)</f>
        <v>6.25E-2</v>
      </c>
      <c r="S61" s="6"/>
    </row>
    <row r="62" spans="2:19" x14ac:dyDescent="0.2">
      <c r="B62" s="173"/>
      <c r="C62" s="147" t="s">
        <v>104</v>
      </c>
      <c r="D62" s="3">
        <f>[1]!Olekuvorrand(D$4,D$5,D$8,5,D$11,Lähteandmed!$C48,D61)</f>
        <v>133.54164361953735</v>
      </c>
      <c r="E62" s="3">
        <f>[1]!Olekuvorrand(E$4,E$5,E$8,5,E$11,Lähteandmed!$C48,E61)</f>
        <v>133.57836008071899</v>
      </c>
      <c r="F62" s="3">
        <f>[1]!Olekuvorrand(F$4,F$5,F$8,5,F$11,Lähteandmed!$C48,F61)</f>
        <v>134.04363393783569</v>
      </c>
      <c r="G62" s="3">
        <f>[1]!Olekuvorrand(G$4,G$5,G$8,5,G$11,Lähteandmed!$C48,G61)</f>
        <v>140.90949296951294</v>
      </c>
      <c r="H62" s="3">
        <f>[1]!Olekuvorrand(H$4,H$5,H$8,5,H$11,Lähteandmed!$C48,H61)</f>
        <v>134.88811254501343</v>
      </c>
      <c r="I62" s="3">
        <f>[1]!Olekuvorrand(I$4,I$5,I$8,5,I$11,Lähteandmed!$C48,I61)</f>
        <v>135.00708341598511</v>
      </c>
      <c r="J62" s="3">
        <f>[1]!Olekuvorrand(J$4,J$5,J$8,5,J$11,Lähteandmed!$C48,J61)</f>
        <v>137.14331388473511</v>
      </c>
      <c r="K62" s="3">
        <f>[1]!Olekuvorrand(K$4,K$5,K$8,5,K$11,Lähteandmed!$C48,K61)</f>
        <v>123.00676107406616</v>
      </c>
      <c r="L62" s="3">
        <f>[1]!Olekuvorrand(L$4,L$5,L$8,5,L$11,Lähteandmed!$C48,L61)</f>
        <v>130.41037321090698</v>
      </c>
      <c r="M62" s="3">
        <f>[1]!Olekuvorrand(M$4,M$5,M$8,5,M$11,Lähteandmed!$C48,M61)</f>
        <v>132.89803266525269</v>
      </c>
      <c r="N62" s="3">
        <f>[1]!Olekuvorrand(N$4,N$5,N$8,5,N$11,Lähteandmed!$C48,N61)</f>
        <v>133.13204050064087</v>
      </c>
      <c r="O62" s="3">
        <f>[1]!Olekuvorrand(O$4,O$5,O$8,5,O$11,Lähteandmed!$C48,O61)</f>
        <v>136.61986589431763</v>
      </c>
      <c r="P62" s="3">
        <f>[1]!Olekuvorrand(P$4,P$5,P$8,5,P$11,Lähteandmed!$C48,P61)</f>
        <v>140.65128564834595</v>
      </c>
      <c r="Q62" s="3">
        <f>[1]!Olekuvorrand(Q$4,Q$5,Q$8,5,Q$11,Lähteandmed!$C48,Q61)</f>
        <v>140.41978120803833</v>
      </c>
      <c r="R62" s="3">
        <f>[1]!Olekuvorrand(R$4,R$5,R$8,5,R$11,Lähteandmed!$C48,R61)</f>
        <v>135.65689325332642</v>
      </c>
      <c r="S62" s="3"/>
    </row>
    <row r="63" spans="2:19" x14ac:dyDescent="0.2">
      <c r="B63" s="173"/>
      <c r="C63" s="147" t="s">
        <v>105</v>
      </c>
      <c r="D63" s="3">
        <f>[1]!ripe(D62,D$11+Lähteandmed!$E48*$D$13,D$4,0)</f>
        <v>11.699998734494152</v>
      </c>
      <c r="E63" s="3">
        <f>[1]!ripe(E62,E$11+Lähteandmed!$E48*$D$13,E$4,0)</f>
        <v>11.499999525544146</v>
      </c>
      <c r="F63" s="3">
        <f>[1]!ripe(F62,F$11+Lähteandmed!$E48*$D$13,F$4,0)</f>
        <v>11.300000021704564</v>
      </c>
      <c r="G63" s="3">
        <f>[1]!ripe(G62,G$11+Lähteandmed!$E48*$D$13,G$4,0)</f>
        <v>6.8999996212868471</v>
      </c>
      <c r="H63" s="3">
        <f>[1]!ripe(H62,H$11+Lähteandmed!$E48*$D$13,H$4,0)</f>
        <v>10.699993726553281</v>
      </c>
      <c r="I63" s="3">
        <f>[1]!ripe(I62,I$11+Lähteandmed!$E48*$D$13,I$4,0)</f>
        <v>10.299998909886092</v>
      </c>
      <c r="J63" s="3">
        <f>[1]!ripe(J62,J$11+Lähteandmed!$E48*$D$13,J$4,0)</f>
        <v>9.5000020409114327</v>
      </c>
      <c r="K63" s="3">
        <f>[1]!ripe(K62,K$11+Lähteandmed!$E48*$D$13,K$4,0)</f>
        <v>14.00000177322427</v>
      </c>
      <c r="L63" s="3">
        <f>[1]!ripe(L62,L$11+Lähteandmed!$E48*$D$13,L$4,0)</f>
        <v>9.999997094890098</v>
      </c>
      <c r="M63" s="3">
        <f>[1]!ripe(M62,M$11+Lähteandmed!$E48*$D$13,M$4,0)</f>
        <v>12.800004686823845</v>
      </c>
      <c r="N63" s="3">
        <f>[1]!ripe(N62,N$11+Lähteandmed!$E48*$D$13,N$4,0)</f>
        <v>12.50000307138848</v>
      </c>
      <c r="O63" s="3">
        <f>[1]!ripe(O62,O$11+Lähteandmed!$E48*$D$13,O$4,0)</f>
        <v>9.5000001506647127</v>
      </c>
      <c r="P63" s="3">
        <f>[1]!ripe(P62,P$11+Lähteandmed!$E48*$D$13,P$4,0)</f>
        <v>7.2000024297730221</v>
      </c>
      <c r="Q63" s="3">
        <f>[1]!ripe(Q62,Q$11+Lähteandmed!$E48*$D$13,Q$4,0)</f>
        <v>7.6999998524986166</v>
      </c>
      <c r="R63" s="3">
        <f>[1]!ripe(R62,R$11+Lähteandmed!$E48*$D$13,R$4,0)</f>
        <v>10.500002042571568</v>
      </c>
      <c r="S63" s="3"/>
    </row>
    <row r="64" spans="2:19" ht="14.25" customHeight="1" x14ac:dyDescent="0.2">
      <c r="B64" s="173"/>
      <c r="C64" s="147" t="s">
        <v>49</v>
      </c>
      <c r="D64" s="50">
        <f t="shared" ref="D64:Q64" si="22">D63/D$4^2*1000000</f>
        <v>58.502350190162097</v>
      </c>
      <c r="E64" s="50">
        <f t="shared" si="22"/>
        <v>58.486269746679376</v>
      </c>
      <c r="F64" s="50">
        <f t="shared" si="22"/>
        <v>58.283260237656187</v>
      </c>
      <c r="G64" s="50">
        <f t="shared" si="22"/>
        <v>55.443390188695844</v>
      </c>
      <c r="H64" s="50">
        <f t="shared" si="22"/>
        <v>57.918372883992248</v>
      </c>
      <c r="I64" s="50">
        <f t="shared" si="22"/>
        <v>57.867334085931262</v>
      </c>
      <c r="J64" s="50">
        <f t="shared" si="22"/>
        <v>56.965956113370396</v>
      </c>
      <c r="K64" s="50">
        <f t="shared" si="22"/>
        <v>63.512768987518108</v>
      </c>
      <c r="L64" s="50">
        <f t="shared" si="22"/>
        <v>59.907044260698392</v>
      </c>
      <c r="M64" s="50">
        <f t="shared" si="22"/>
        <v>58.785670813339621</v>
      </c>
      <c r="N64" s="50">
        <f t="shared" si="22"/>
        <v>58.682342512149752</v>
      </c>
      <c r="O64" s="50">
        <f t="shared" si="22"/>
        <v>57.184216576843689</v>
      </c>
      <c r="P64" s="50">
        <f t="shared" si="22"/>
        <v>55.54517304258907</v>
      </c>
      <c r="Q64" s="50">
        <f t="shared" si="22"/>
        <v>55.636748133266387</v>
      </c>
      <c r="R64" s="50">
        <f>R63/R$4^2*1000000</f>
        <v>57.590143874302761</v>
      </c>
      <c r="S64" s="50"/>
    </row>
    <row r="65" spans="2:19" ht="14.25" customHeight="1" x14ac:dyDescent="0.2">
      <c r="B65" s="174" t="str">
        <f>Lähteandmed!B51</f>
        <v>T+60</v>
      </c>
      <c r="C65" s="148" t="s">
        <v>222</v>
      </c>
      <c r="D65" s="9">
        <f>SQRT((kaalutegur R_10*[1]!juhe(D5,6)+jaitetegur R_10*[1]!Jaitekoormus_EN(D$5,JaideJ,hj))^2+(tuuletegur R_10*[1]!Tuulekoormus_en(D$5,Qt,ht,zo,D$4,JaideJ,jaitetegur R_10))^2)</f>
        <v>6.25E-2</v>
      </c>
      <c r="E65" s="9">
        <f>SQRT((kaalutegur R_10*[1]!juhe(E5,6)+jaitetegur R_10*[1]!Jaitekoormus_EN(E$5,JaideJ,hj))^2+(tuuletegur R_10*[1]!Tuulekoormus_en(E$5,Qt,ht,zo,E$4,JaideJ,jaitetegur R_10))^2)</f>
        <v>6.25E-2</v>
      </c>
      <c r="F65" s="9">
        <f>SQRT((kaalutegur R_10*[1]!juhe(F5,6)+jaitetegur R_10*[1]!Jaitekoormus_EN(F$5,JaideJ,hj))^2+(tuuletegur R_10*[1]!Tuulekoormus_en(F$5,Qt,ht,zo,F$4,JaideJ,jaitetegur R_10))^2)</f>
        <v>6.25E-2</v>
      </c>
      <c r="G65" s="9">
        <f>SQRT((kaalutegur R_10*[1]!juhe(G5,6)+jaitetegur R_10*[1]!Jaitekoormus_EN(G$5,JaideJ,hj))^2+(tuuletegur R_10*[1]!Tuulekoormus_en(G$5,Qt,ht,zo,G$4,JaideJ,jaitetegur R_10))^2)</f>
        <v>6.25E-2</v>
      </c>
      <c r="H65" s="9">
        <f>SQRT((kaalutegur R_10*[1]!juhe(H5,6)+jaitetegur R_10*[1]!Jaitekoormus_EN(H$5,JaideJ,hj))^2+(tuuletegur R_10*[1]!Tuulekoormus_en(H$5,Qt,ht,zo,H$4,JaideJ,jaitetegur R_10))^2)</f>
        <v>6.25E-2</v>
      </c>
      <c r="I65" s="9">
        <f>SQRT((kaalutegur R_10*[1]!juhe(I5,6)+jaitetegur R_10*[1]!Jaitekoormus_EN(I$5,JaideJ,hj))^2+(tuuletegur R_10*[1]!Tuulekoormus_en(I$5,Qt,ht,zo,I$4,JaideJ,jaitetegur R_10))^2)</f>
        <v>6.25E-2</v>
      </c>
      <c r="J65" s="9">
        <f>SQRT((kaalutegur R_10*[1]!juhe(J5,6)+jaitetegur R_10*[1]!Jaitekoormus_EN(J$5,JaideJ,hj))^2+(tuuletegur R_10*[1]!Tuulekoormus_en(J$5,Qt,ht,zo,J$4,JaideJ,jaitetegur R_10))^2)</f>
        <v>6.25E-2</v>
      </c>
      <c r="K65" s="9">
        <f>SQRT((kaalutegur R_10*[1]!juhe(K5,6)+jaitetegur R_10*[1]!Jaitekoormus_EN(K$5,JaideJ,hj))^2+(tuuletegur R_10*[1]!Tuulekoormus_en(K$5,Qt,ht,zo,K$4,JaideJ,jaitetegur R_10))^2)</f>
        <v>6.25E-2</v>
      </c>
      <c r="L65" s="9">
        <f>SQRT((kaalutegur R_10*[1]!juhe(L5,6)+jaitetegur R_10*[1]!Jaitekoormus_EN(L$5,JaideJ,hj))^2+(tuuletegur R_10*[1]!Tuulekoormus_en(L$5,Qt,ht,zo,L$4,JaideJ,jaitetegur R_10))^2)</f>
        <v>6.25E-2</v>
      </c>
      <c r="M65" s="9">
        <f>SQRT((kaalutegur R_10*[1]!juhe(M5,6)+jaitetegur R_10*[1]!Jaitekoormus_EN(M$5,JaideJ,hj))^2+(tuuletegur R_10*[1]!Tuulekoormus_en(M$5,Qt,ht,zo,M$4,JaideJ,jaitetegur R_10))^2)</f>
        <v>6.25E-2</v>
      </c>
      <c r="N65" s="9">
        <f>SQRT((kaalutegur R_10*[1]!juhe(N5,6)+jaitetegur R_10*[1]!Jaitekoormus_EN(N$5,JaideJ,hj))^2+(tuuletegur R_10*[1]!Tuulekoormus_en(N$5,Qt,ht,zo,N$4,JaideJ,jaitetegur R_10))^2)</f>
        <v>6.25E-2</v>
      </c>
      <c r="O65" s="9">
        <f>SQRT((kaalutegur R_10*[1]!juhe(O5,6)+jaitetegur R_10*[1]!Jaitekoormus_EN(O$5,JaideJ,hj))^2+(tuuletegur R_10*[1]!Tuulekoormus_en(O$5,Qt,ht,zo,O$4,JaideJ,jaitetegur R_10))^2)</f>
        <v>6.25E-2</v>
      </c>
      <c r="P65" s="9">
        <f>SQRT((kaalutegur R_10*[1]!juhe(P5,6)+jaitetegur R_10*[1]!Jaitekoormus_EN(P$5,JaideJ,hj))^2+(tuuletegur R_10*[1]!Tuulekoormus_en(P$5,Qt,ht,zo,P$4,JaideJ,jaitetegur R_10))^2)</f>
        <v>6.25E-2</v>
      </c>
      <c r="Q65" s="9">
        <f>SQRT((kaalutegur R_10*[1]!juhe(Q5,6)+jaitetegur R_10*[1]!Jaitekoormus_EN(Q$5,JaideJ,hj))^2+(tuuletegur R_10*[1]!Tuulekoormus_en(Q$5,Qt,ht,zo,Q$4,JaideJ,jaitetegur R_10))^2)</f>
        <v>6.25E-2</v>
      </c>
      <c r="R65" s="9">
        <f>SQRT((kaalutegur R_10*[1]!juhe(R5,6)+jaitetegur R_10*[1]!Jaitekoormus_EN(R$5,JaideJ,hj))^2+(tuuletegur R_10*[1]!Tuulekoormus_en(R$5,Qt,ht,zo,R$4,JaideJ,jaitetegur R_10))^2)</f>
        <v>6.25E-2</v>
      </c>
      <c r="S65" s="9"/>
    </row>
    <row r="66" spans="2:19" ht="14.25" customHeight="1" x14ac:dyDescent="0.2">
      <c r="B66" s="174"/>
      <c r="C66" s="148" t="s">
        <v>104</v>
      </c>
      <c r="D66" s="22">
        <f>[1]!Olekuvorrand(D$4,D$5,D$8,5,D$11,Lähteandmed!$C51,D65)</f>
        <v>131.79606199264526</v>
      </c>
      <c r="E66" s="22">
        <f>[1]!Olekuvorrand(E$4,E$5,E$8,5,E$11,Lähteandmed!$C51,E65)</f>
        <v>131.80834054946899</v>
      </c>
      <c r="F66" s="22">
        <f>[1]!Olekuvorrand(F$4,F$5,F$8,5,F$11,Lähteandmed!$C51,F65)</f>
        <v>132.23952054977417</v>
      </c>
      <c r="G66" s="22">
        <f>[1]!Olekuvorrand(G$4,G$5,G$8,5,G$11,Lähteandmed!$C51,G65)</f>
        <v>138.13990354537964</v>
      </c>
      <c r="H66" s="22">
        <f>[1]!Olekuvorrand(H$4,H$5,H$8,5,H$11,Lähteandmed!$C51,H65)</f>
        <v>132.98803567886353</v>
      </c>
      <c r="I66" s="22">
        <f>[1]!Olekuvorrand(I$4,I$5,I$8,5,I$11,Lähteandmed!$C51,I65)</f>
        <v>133.04847478866577</v>
      </c>
      <c r="J66" s="22">
        <f>[1]!Olekuvorrand(J$4,J$5,J$8,5,J$11,Lähteandmed!$C51,J65)</f>
        <v>135.01280546188354</v>
      </c>
      <c r="K66" s="22">
        <f>[1]!Olekuvorrand(K$4,K$5,K$8,5,K$11,Lähteandmed!$C51,K65)</f>
        <v>121.68663740158081</v>
      </c>
      <c r="L66" s="22">
        <f>[1]!Olekuvorrand(L$4,L$5,L$8,5,L$11,Lähteandmed!$C51,L65)</f>
        <v>128.51113080978394</v>
      </c>
      <c r="M66" s="22">
        <f>[1]!Olekuvorrand(M$4,M$5,M$8,5,M$11,Lähteandmed!$C51,M65)</f>
        <v>131.28477334976196</v>
      </c>
      <c r="N66" s="22">
        <f>[1]!Olekuvorrand(N$4,N$5,N$8,5,N$11,Lähteandmed!$C51,N65)</f>
        <v>131.48337602615356</v>
      </c>
      <c r="O66" s="22">
        <f>[1]!Olekuvorrand(O$4,O$5,O$8,5,O$11,Lähteandmed!$C51,O65)</f>
        <v>134.50151681900024</v>
      </c>
      <c r="P66" s="22">
        <f>[1]!Olekuvorrand(P$4,P$5,P$8,5,P$11,Lähteandmed!$C51,P65)</f>
        <v>137.9658579826355</v>
      </c>
      <c r="Q66" s="22">
        <f>[1]!Olekuvorrand(Q$4,Q$5,Q$8,5,Q$11,Lähteandmed!$C51,Q65)</f>
        <v>137.8597617149353</v>
      </c>
      <c r="R66" s="22">
        <f>[1]!Olekuvorrand(R$4,R$5,R$8,5,R$11,Lähteandmed!$C51,R65)</f>
        <v>133.71247053146362</v>
      </c>
      <c r="S66" s="22"/>
    </row>
    <row r="67" spans="2:19" x14ac:dyDescent="0.2">
      <c r="B67" s="174"/>
      <c r="C67" s="148" t="s">
        <v>105</v>
      </c>
      <c r="D67" s="9">
        <f>[1]!ripe(D66,D$11+Lähteandmed!$E51*$D$13,D$4,0)</f>
        <v>11.854960138627254</v>
      </c>
      <c r="E67" s="9">
        <f>[1]!ripe(E66,E$11+Lähteandmed!$E51*$D$13,E$4,0)</f>
        <v>11.654429993940335</v>
      </c>
      <c r="F67" s="9">
        <f>[1]!ripe(F66,F$11+Lähteandmed!$E51*$D$13,F$4,0)</f>
        <v>11.454163325076339</v>
      </c>
      <c r="G67" s="9">
        <f>[1]!ripe(G66,G$11+Lähteandmed!$E51*$D$13,G$4,0)</f>
        <v>7.0383388374523062</v>
      </c>
      <c r="H67" s="9">
        <f>[1]!ripe(H66,H$11+Lähteandmed!$E51*$D$13,H$4,0)</f>
        <v>10.852870716156069</v>
      </c>
      <c r="I67" s="9">
        <f>[1]!ripe(I66,I$11+Lähteandmed!$E51*$D$13,I$4,0)</f>
        <v>10.451625350988303</v>
      </c>
      <c r="J67" s="9">
        <f>[1]!ripe(J66,J$11+Lähteandmed!$E51*$D$13,J$4,0)</f>
        <v>9.6499125201139613</v>
      </c>
      <c r="K67" s="9">
        <f>[1]!ripe(K66,K$11+Lähteandmed!$E51*$D$13,K$4,0)</f>
        <v>14.151881504231039</v>
      </c>
      <c r="L67" s="9">
        <f>[1]!ripe(L66,L$11+Lähteandmed!$E51*$D$13,L$4,0)</f>
        <v>10.147785215452465</v>
      </c>
      <c r="M67" s="9">
        <f>[1]!ripe(M66,M$11+Lähteandmed!$E51*$D$13,M$4,0)</f>
        <v>12.95729426635741</v>
      </c>
      <c r="N67" s="9">
        <f>[1]!ripe(N66,N$11+Lähteandmed!$E51*$D$13,N$4,0)</f>
        <v>12.656740079652408</v>
      </c>
      <c r="O67" s="9">
        <f>[1]!ripe(O66,O$11+Lähteandmed!$E51*$D$13,O$4,0)</f>
        <v>9.6496216345752401</v>
      </c>
      <c r="P67" s="9">
        <f>[1]!ripe(P66,P$11+Lähteandmed!$E51*$D$13,P$4,0)</f>
        <v>7.3401464190238155</v>
      </c>
      <c r="Q67" s="9">
        <f>[1]!ripe(Q66,Q$11+Lähteandmed!$E51*$D$13,Q$4,0)</f>
        <v>7.842986823272927</v>
      </c>
      <c r="R67" s="9">
        <f>[1]!ripe(R66,R$11+Lähteandmed!$E51*$D$13,R$4,0)</f>
        <v>10.6526911857011</v>
      </c>
      <c r="S67" s="9"/>
    </row>
    <row r="68" spans="2:19" x14ac:dyDescent="0.2">
      <c r="B68" s="174"/>
      <c r="C68" s="148" t="s">
        <v>49</v>
      </c>
      <c r="D68" s="51">
        <f t="shared" ref="D68:Q68" si="23">D67/D$4^2*1000000</f>
        <v>59.277188421881441</v>
      </c>
      <c r="E68" s="51">
        <f t="shared" si="23"/>
        <v>59.271666477493433</v>
      </c>
      <c r="F68" s="51">
        <f t="shared" si="23"/>
        <v>59.078405362634548</v>
      </c>
      <c r="G68" s="51">
        <f t="shared" si="23"/>
        <v>56.554983748295122</v>
      </c>
      <c r="H68" s="51">
        <f t="shared" si="23"/>
        <v>58.745886125165775</v>
      </c>
      <c r="I68" s="51">
        <f t="shared" si="23"/>
        <v>58.71919999390731</v>
      </c>
      <c r="J68" s="51">
        <f t="shared" si="23"/>
        <v>57.86488158121864</v>
      </c>
      <c r="K68" s="51">
        <f t="shared" si="23"/>
        <v>64.201790490913083</v>
      </c>
      <c r="L68" s="51">
        <f t="shared" si="23"/>
        <v>60.792399465877324</v>
      </c>
      <c r="M68" s="51">
        <f t="shared" si="23"/>
        <v>59.508043474214254</v>
      </c>
      <c r="N68" s="51">
        <f t="shared" si="23"/>
        <v>59.418157915613634</v>
      </c>
      <c r="O68" s="51">
        <f t="shared" si="23"/>
        <v>58.084846808927388</v>
      </c>
      <c r="P68" s="51">
        <f t="shared" si="23"/>
        <v>56.626328529651794</v>
      </c>
      <c r="Q68" s="51">
        <f t="shared" si="23"/>
        <v>56.669907903617222</v>
      </c>
      <c r="R68" s="51">
        <f>R67/R$4^2*1000000</f>
        <v>58.427609399092326</v>
      </c>
      <c r="S68" s="51"/>
    </row>
    <row r="69" spans="2:19" ht="38.25" x14ac:dyDescent="0.2">
      <c r="B69" s="173" t="str">
        <f>Lähteandmed!B54</f>
        <v>Peale venimist EDS</v>
      </c>
      <c r="C69" s="147" t="s">
        <v>222</v>
      </c>
      <c r="D69" s="6">
        <f>SQRT((kaalutegur R_11*[1]!juhe(D5,6)+jaitetegur R_11*[1]!Jaitekoormus_EN(D$5,JaideJ,hj))^2+(tuuletegur R_11*[1]!Tuulekoormus_en(D$5,Qt,ht,zo,D$4,JaideJ,jaitetegur R_11))^2)</f>
        <v>6.25E-2</v>
      </c>
      <c r="E69" s="6">
        <f>SQRT((kaalutegur R_11*[1]!juhe(E5,6)+jaitetegur R_11*[1]!Jaitekoormus_EN(E$5,JaideJ,hj))^2+(tuuletegur R_11*[1]!Tuulekoormus_en(E$5,Qt,ht,zo,E$4,JaideJ,jaitetegur R_11))^2)</f>
        <v>6.25E-2</v>
      </c>
      <c r="F69" s="6">
        <f>SQRT((kaalutegur R_11*[1]!juhe(F5,6)+jaitetegur R_11*[1]!Jaitekoormus_EN(F$5,JaideJ,hj))^2+(tuuletegur R_11*[1]!Tuulekoormus_en(F$5,Qt,ht,zo,F$4,JaideJ,jaitetegur R_11))^2)</f>
        <v>6.25E-2</v>
      </c>
      <c r="G69" s="6">
        <f>SQRT((kaalutegur R_11*[1]!juhe(G5,6)+jaitetegur R_11*[1]!Jaitekoormus_EN(G$5,JaideJ,hj))^2+(tuuletegur R_11*[1]!Tuulekoormus_en(G$5,Qt,ht,zo,G$4,JaideJ,jaitetegur R_11))^2)</f>
        <v>6.25E-2</v>
      </c>
      <c r="H69" s="6">
        <f>SQRT((kaalutegur R_11*[1]!juhe(H5,6)+jaitetegur R_11*[1]!Jaitekoormus_EN(H$5,JaideJ,hj))^2+(tuuletegur R_11*[1]!Tuulekoormus_en(H$5,Qt,ht,zo,H$4,JaideJ,jaitetegur R_11))^2)</f>
        <v>6.25E-2</v>
      </c>
      <c r="I69" s="6">
        <f>SQRT((kaalutegur R_11*[1]!juhe(I5,6)+jaitetegur R_11*[1]!Jaitekoormus_EN(I$5,JaideJ,hj))^2+(tuuletegur R_11*[1]!Tuulekoormus_en(I$5,Qt,ht,zo,I$4,JaideJ,jaitetegur R_11))^2)</f>
        <v>6.25E-2</v>
      </c>
      <c r="J69" s="6">
        <f>SQRT((kaalutegur R_11*[1]!juhe(J5,6)+jaitetegur R_11*[1]!Jaitekoormus_EN(J$5,JaideJ,hj))^2+(tuuletegur R_11*[1]!Tuulekoormus_en(J$5,Qt,ht,zo,J$4,JaideJ,jaitetegur R_11))^2)</f>
        <v>6.25E-2</v>
      </c>
      <c r="K69" s="6">
        <f>SQRT((kaalutegur R_11*[1]!juhe(K5,6)+jaitetegur R_11*[1]!Jaitekoormus_EN(K$5,JaideJ,hj))^2+(tuuletegur R_11*[1]!Tuulekoormus_en(K$5,Qt,ht,zo,K$4,JaideJ,jaitetegur R_11))^2)</f>
        <v>6.25E-2</v>
      </c>
      <c r="L69" s="6">
        <f>SQRT((kaalutegur R_11*[1]!juhe(L5,6)+jaitetegur R_11*[1]!Jaitekoormus_EN(L$5,JaideJ,hj))^2+(tuuletegur R_11*[1]!Tuulekoormus_en(L$5,Qt,ht,zo,L$4,JaideJ,jaitetegur R_11))^2)</f>
        <v>6.25E-2</v>
      </c>
      <c r="M69" s="6">
        <f>SQRT((kaalutegur R_11*[1]!juhe(M5,6)+jaitetegur R_11*[1]!Jaitekoormus_EN(M$5,JaideJ,hj))^2+(tuuletegur R_11*[1]!Tuulekoormus_en(M$5,Qt,ht,zo,M$4,JaideJ,jaitetegur R_11))^2)</f>
        <v>6.25E-2</v>
      </c>
      <c r="N69" s="6">
        <f>SQRT((kaalutegur R_11*[1]!juhe(N5,6)+jaitetegur R_11*[1]!Jaitekoormus_EN(N$5,JaideJ,hj))^2+(tuuletegur R_11*[1]!Tuulekoormus_en(N$5,Qt,ht,zo,N$4,JaideJ,jaitetegur R_11))^2)</f>
        <v>6.25E-2</v>
      </c>
      <c r="O69" s="6">
        <f>SQRT((kaalutegur R_11*[1]!juhe(O5,6)+jaitetegur R_11*[1]!Jaitekoormus_EN(O$5,JaideJ,hj))^2+(tuuletegur R_11*[1]!Tuulekoormus_en(O$5,Qt,ht,zo,O$4,JaideJ,jaitetegur R_11))^2)</f>
        <v>6.25E-2</v>
      </c>
      <c r="P69" s="6">
        <f>SQRT((kaalutegur R_11*[1]!juhe(P5,6)+jaitetegur R_11*[1]!Jaitekoormus_EN(P$5,JaideJ,hj))^2+(tuuletegur R_11*[1]!Tuulekoormus_en(P$5,Qt,ht,zo,P$4,JaideJ,jaitetegur R_11))^2)</f>
        <v>6.25E-2</v>
      </c>
      <c r="Q69" s="6">
        <f>SQRT((kaalutegur R_11*[1]!juhe(Q5,6)+jaitetegur R_11*[1]!Jaitekoormus_EN(Q$5,JaideJ,hj))^2+(tuuletegur R_11*[1]!Tuulekoormus_en(Q$5,Qt,ht,zo,Q$4,JaideJ,jaitetegur R_11))^2)</f>
        <v>6.25E-2</v>
      </c>
      <c r="R69" s="6">
        <f>SQRT((kaalutegur R_11*[1]!juhe(R5,6)+jaitetegur R_11*[1]!Jaitekoormus_EN(R$5,JaideJ,hj))^2+(tuuletegur R_11*[1]!Tuulekoormus_en(R$5,Qt,ht,zo,R$4,JaideJ,jaitetegur R_11))^2)</f>
        <v>6.25E-2</v>
      </c>
      <c r="S69" s="6"/>
    </row>
    <row r="70" spans="2:19" x14ac:dyDescent="0.2">
      <c r="B70" s="173"/>
      <c r="C70" s="147" t="s">
        <v>104</v>
      </c>
      <c r="D70" s="3">
        <f>[1]!Olekuvorrand(D$4,D$5,D$8,5,D$11,Lähteandmed!$C54,D69)</f>
        <v>132.56508111953735</v>
      </c>
      <c r="E70" s="3">
        <f>[1]!Olekuvorrand(E$4,E$5,E$8,5,E$11,Lähteandmed!$C54,E69)</f>
        <v>132.58808851242065</v>
      </c>
      <c r="F70" s="3">
        <f>[1]!Olekuvorrand(F$4,F$5,F$8,5,F$11,Lähteandmed!$C54,F69)</f>
        <v>133.03428888320923</v>
      </c>
      <c r="G70" s="3">
        <f>[1]!Olekuvorrand(G$4,G$5,G$8,5,G$11,Lähteandmed!$C54,G69)</f>
        <v>139.35703039169312</v>
      </c>
      <c r="H70" s="3">
        <f>[1]!Olekuvorrand(H$4,H$5,H$8,5,H$11,Lähteandmed!$C54,H69)</f>
        <v>133.82476568222046</v>
      </c>
      <c r="I70" s="3">
        <f>[1]!Olekuvorrand(I$4,I$5,I$8,5,I$11,Lähteandmed!$C54,I69)</f>
        <v>133.91083478927612</v>
      </c>
      <c r="J70" s="3">
        <f>[1]!Olekuvorrand(J$4,J$5,J$8,5,J$11,Lähteandmed!$C54,J69)</f>
        <v>135.95038652420044</v>
      </c>
      <c r="K70" s="3">
        <f>[1]!Olekuvorrand(K$4,K$5,K$8,5,K$11,Lähteandmed!$C54,K69)</f>
        <v>122.26885557174683</v>
      </c>
      <c r="L70" s="3">
        <f>[1]!Olekuvorrand(L$4,L$5,L$8,5,L$11,Lähteandmed!$C54,L69)</f>
        <v>129.34726476669312</v>
      </c>
      <c r="M70" s="3">
        <f>[1]!Olekuvorrand(M$4,M$5,M$8,5,M$11,Lähteandmed!$C54,M69)</f>
        <v>131.99585676193237</v>
      </c>
      <c r="N70" s="3">
        <f>[1]!Olekuvorrand(N$4,N$5,N$8,5,N$11,Lähteandmed!$C54,N69)</f>
        <v>132.20995664596558</v>
      </c>
      <c r="O70" s="3">
        <f>[1]!Olekuvorrand(O$4,O$5,O$8,5,O$11,Lähteandmed!$C54,O69)</f>
        <v>135.43373346328735</v>
      </c>
      <c r="P70" s="3">
        <f>[1]!Olekuvorrand(P$4,P$5,P$8,5,P$11,Lähteandmed!$C54,P69)</f>
        <v>139.14626836776733</v>
      </c>
      <c r="Q70" s="3">
        <f>[1]!Olekuvorrand(Q$4,Q$5,Q$8,5,Q$11,Lähteandmed!$C54,Q69)</f>
        <v>138.98533582687378</v>
      </c>
      <c r="R70" s="3">
        <f>[1]!Olekuvorrand(R$4,R$5,R$8,5,R$11,Lähteandmed!$C54,R69)</f>
        <v>134.56863164901733</v>
      </c>
      <c r="S70" s="3"/>
    </row>
    <row r="71" spans="2:19" x14ac:dyDescent="0.2">
      <c r="B71" s="173"/>
      <c r="C71" s="147" t="s">
        <v>105</v>
      </c>
      <c r="D71" s="3">
        <f>[1]!ripe(D70,D$11+Lähteandmed!$E54*$D$13,D$4,0)</f>
        <v>11.786188701849518</v>
      </c>
      <c r="E71" s="3">
        <f>[1]!ripe(E70,E$11+Lähteandmed!$E54*$D$13,E$4,0)</f>
        <v>11.585890518418095</v>
      </c>
      <c r="F71" s="3">
        <f>[1]!ripe(F70,F$11+Lähteandmed!$E54*$D$13,F$4,0)</f>
        <v>11.385734302955916</v>
      </c>
      <c r="G71" s="3">
        <f>[1]!ripe(G70,G$11+Lähteandmed!$E54*$D$13,G$4,0)</f>
        <v>6.9768668677322578</v>
      </c>
      <c r="H71" s="3">
        <f>[1]!ripe(H70,H$11+Lähteandmed!$E54*$D$13,H$4,0)</f>
        <v>10.785013899785286</v>
      </c>
      <c r="I71" s="3">
        <f>[1]!ripe(I70,I$11+Lähteandmed!$E54*$D$13,I$4,0)</f>
        <v>10.384318895478257</v>
      </c>
      <c r="J71" s="3">
        <f>[1]!ripe(J70,J$11+Lähteandmed!$E54*$D$13,J$4,0)</f>
        <v>9.5833619536669659</v>
      </c>
      <c r="K71" s="3">
        <f>[1]!ripe(K70,K$11+Lähteandmed!$E54*$D$13,K$4,0)</f>
        <v>14.084493267747835</v>
      </c>
      <c r="L71" s="3">
        <f>[1]!ripe(L70,L$11+Lähteandmed!$E54*$D$13,L$4,0)</f>
        <v>10.082187324214756</v>
      </c>
      <c r="M71" s="3">
        <f>[1]!ripe(M70,M$11+Lähteandmed!$E54*$D$13,M$4,0)</f>
        <v>12.887491188856005</v>
      </c>
      <c r="N71" s="3">
        <f>[1]!ripe(N70,N$11+Lähteandmed!$E54*$D$13,N$4,0)</f>
        <v>12.587182973023147</v>
      </c>
      <c r="O71" s="3">
        <f>[1]!ripe(O70,O$11+Lähteandmed!$E54*$D$13,O$4,0)</f>
        <v>9.5832014180694127</v>
      </c>
      <c r="P71" s="3">
        <f>[1]!ripe(P70,P$11+Lähteandmed!$E54*$D$13,P$4,0)</f>
        <v>7.2778782377564326</v>
      </c>
      <c r="Q71" s="3">
        <f>[1]!ripe(Q70,Q$11+Lähteandmed!$E54*$D$13,Q$4,0)</f>
        <v>7.7794703171895305</v>
      </c>
      <c r="R71" s="3">
        <f>[1]!ripe(R70,R$11+Lähteandmed!$E54*$D$13,R$4,0)</f>
        <v>10.584915955480342</v>
      </c>
      <c r="S71" s="3"/>
    </row>
    <row r="72" spans="2:19" x14ac:dyDescent="0.2">
      <c r="B72" s="173"/>
      <c r="C72" s="147" t="s">
        <v>49</v>
      </c>
      <c r="D72" s="50">
        <f t="shared" ref="D72:Q72" si="24">D71/D$4^2*1000000</f>
        <v>58.933317386614554</v>
      </c>
      <c r="E72" s="50">
        <f t="shared" si="24"/>
        <v>58.923090962791399</v>
      </c>
      <c r="F72" s="50">
        <f t="shared" si="24"/>
        <v>58.725461424900708</v>
      </c>
      <c r="G72" s="50">
        <f t="shared" si="24"/>
        <v>56.06103960482853</v>
      </c>
      <c r="H72" s="50">
        <f t="shared" si="24"/>
        <v>58.378581573992953</v>
      </c>
      <c r="I72" s="50">
        <f t="shared" si="24"/>
        <v>58.341059648338785</v>
      </c>
      <c r="J72" s="50">
        <f t="shared" si="24"/>
        <v>57.465816756683523</v>
      </c>
      <c r="K72" s="50">
        <f t="shared" si="24"/>
        <v>63.896075279903634</v>
      </c>
      <c r="L72" s="50">
        <f t="shared" si="24"/>
        <v>60.399421774334392</v>
      </c>
      <c r="M72" s="50">
        <f t="shared" si="24"/>
        <v>59.187463846616183</v>
      </c>
      <c r="N72" s="50">
        <f t="shared" si="24"/>
        <v>59.091616079418785</v>
      </c>
      <c r="O72" s="50">
        <f t="shared" si="24"/>
        <v>57.685037547294449</v>
      </c>
      <c r="P72" s="50">
        <f t="shared" si="24"/>
        <v>56.145954121826335</v>
      </c>
      <c r="Q72" s="50">
        <f t="shared" si="24"/>
        <v>56.210966095959883</v>
      </c>
      <c r="R72" s="50">
        <f>R71/R$4^2*1000000</f>
        <v>58.055877541926755</v>
      </c>
      <c r="S72" s="50"/>
    </row>
    <row r="73" spans="2:19" ht="38.25" x14ac:dyDescent="0.2">
      <c r="B73" s="174" t="str">
        <f>Lähteandmed!B57</f>
        <v>Peale venimist Tmax</v>
      </c>
      <c r="C73" s="148" t="s">
        <v>222</v>
      </c>
      <c r="D73" s="9">
        <f>SQRT((kaalutegur R_12*[1]!juhe(D5,6)+jaitetegur R_12*[1]!Jaitekoormus_EN(D$5,JaideJ,hj))^2+(tuuletegur R_12*[1]!Tuulekoormus_en(D$5,Qt,ht,zo,D$4,JaideJ,jaitetegur R_12))^2)</f>
        <v>6.25E-2</v>
      </c>
      <c r="E73" s="9">
        <f>SQRT((kaalutegur R_12*[1]!juhe(E5,6)+jaitetegur R_12*[1]!Jaitekoormus_EN(E$5,JaideJ,hj))^2+(tuuletegur R_12*[1]!Tuulekoormus_en(E$5,Qt,ht,zo,E$4,JaideJ,jaitetegur R_12))^2)</f>
        <v>6.25E-2</v>
      </c>
      <c r="F73" s="9">
        <f>SQRT((kaalutegur R_12*[1]!juhe(F5,6)+jaitetegur R_12*[1]!Jaitekoormus_EN(F$5,JaideJ,hj))^2+(tuuletegur R_12*[1]!Tuulekoormus_en(F$5,Qt,ht,zo,F$4,JaideJ,jaitetegur R_12))^2)</f>
        <v>6.25E-2</v>
      </c>
      <c r="G73" s="9">
        <f>SQRT((kaalutegur R_12*[1]!juhe(G5,6)+jaitetegur R_12*[1]!Jaitekoormus_EN(G$5,JaideJ,hj))^2+(tuuletegur R_12*[1]!Tuulekoormus_en(G$5,Qt,ht,zo,G$4,JaideJ,jaitetegur R_12))^2)</f>
        <v>6.25E-2</v>
      </c>
      <c r="H73" s="9">
        <f>SQRT((kaalutegur R_12*[1]!juhe(H5,6)+jaitetegur R_12*[1]!Jaitekoormus_EN(H$5,JaideJ,hj))^2+(tuuletegur R_12*[1]!Tuulekoormus_en(H$5,Qt,ht,zo,H$4,JaideJ,jaitetegur R_12))^2)</f>
        <v>6.25E-2</v>
      </c>
      <c r="I73" s="9">
        <f>SQRT((kaalutegur R_12*[1]!juhe(I5,6)+jaitetegur R_12*[1]!Jaitekoormus_EN(I$5,JaideJ,hj))^2+(tuuletegur R_12*[1]!Tuulekoormus_en(I$5,Qt,ht,zo,I$4,JaideJ,jaitetegur R_12))^2)</f>
        <v>6.25E-2</v>
      </c>
      <c r="J73" s="9">
        <f>SQRT((kaalutegur R_12*[1]!juhe(J5,6)+jaitetegur R_12*[1]!Jaitekoormus_EN(J$5,JaideJ,hj))^2+(tuuletegur R_12*[1]!Tuulekoormus_en(J$5,Qt,ht,zo,J$4,JaideJ,jaitetegur R_12))^2)</f>
        <v>6.25E-2</v>
      </c>
      <c r="K73" s="9">
        <f>SQRT((kaalutegur R_12*[1]!juhe(K5,6)+jaitetegur R_12*[1]!Jaitekoormus_EN(K$5,JaideJ,hj))^2+(tuuletegur R_12*[1]!Tuulekoormus_en(K$5,Qt,ht,zo,K$4,JaideJ,jaitetegur R_12))^2)</f>
        <v>6.25E-2</v>
      </c>
      <c r="L73" s="9">
        <f>SQRT((kaalutegur R_12*[1]!juhe(L5,6)+jaitetegur R_12*[1]!Jaitekoormus_EN(L$5,JaideJ,hj))^2+(tuuletegur R_12*[1]!Tuulekoormus_en(L$5,Qt,ht,zo,L$4,JaideJ,jaitetegur R_12))^2)</f>
        <v>6.25E-2</v>
      </c>
      <c r="M73" s="9">
        <f>SQRT((kaalutegur R_12*[1]!juhe(M5,6)+jaitetegur R_12*[1]!Jaitekoormus_EN(M$5,JaideJ,hj))^2+(tuuletegur R_12*[1]!Tuulekoormus_en(M$5,Qt,ht,zo,M$4,JaideJ,jaitetegur R_12))^2)</f>
        <v>6.25E-2</v>
      </c>
      <c r="N73" s="9">
        <f>SQRT((kaalutegur R_12*[1]!juhe(N5,6)+jaitetegur R_12*[1]!Jaitekoormus_EN(N$5,JaideJ,hj))^2+(tuuletegur R_12*[1]!Tuulekoormus_en(N$5,Qt,ht,zo,N$4,JaideJ,jaitetegur R_12))^2)</f>
        <v>6.25E-2</v>
      </c>
      <c r="O73" s="9">
        <f>SQRT((kaalutegur R_12*[1]!juhe(O5,6)+jaitetegur R_12*[1]!Jaitekoormus_EN(O$5,JaideJ,hj))^2+(tuuletegur R_12*[1]!Tuulekoormus_en(O$5,Qt,ht,zo,O$4,JaideJ,jaitetegur R_12))^2)</f>
        <v>6.25E-2</v>
      </c>
      <c r="P73" s="9">
        <f>SQRT((kaalutegur R_12*[1]!juhe(P5,6)+jaitetegur R_12*[1]!Jaitekoormus_EN(P$5,JaideJ,hj))^2+(tuuletegur R_12*[1]!Tuulekoormus_en(P$5,Qt,ht,zo,P$4,JaideJ,jaitetegur R_12))^2)</f>
        <v>6.25E-2</v>
      </c>
      <c r="Q73" s="9">
        <f>SQRT((kaalutegur R_12*[1]!juhe(Q5,6)+jaitetegur R_12*[1]!Jaitekoormus_EN(Q$5,JaideJ,hj))^2+(tuuletegur R_12*[1]!Tuulekoormus_en(Q$5,Qt,ht,zo,Q$4,JaideJ,jaitetegur R_12))^2)</f>
        <v>6.25E-2</v>
      </c>
      <c r="R73" s="9">
        <f>SQRT((kaalutegur R_12*[1]!juhe(R5,6)+jaitetegur R_12*[1]!Jaitekoormus_EN(R$5,JaideJ,hj))^2+(tuuletegur R_12*[1]!Tuulekoormus_en(R$5,Qt,ht,zo,R$4,JaideJ,jaitetegur R_12))^2)</f>
        <v>6.25E-2</v>
      </c>
      <c r="S73" s="9"/>
    </row>
    <row r="74" spans="2:19" x14ac:dyDescent="0.2">
      <c r="B74" s="174"/>
      <c r="C74" s="148" t="s">
        <v>104</v>
      </c>
      <c r="D74" s="22">
        <f>[1]!Olekuvorrand(D$4,D$5,D$8,5,D$11,Lähteandmed!$C57,D73)</f>
        <v>131.03765249252319</v>
      </c>
      <c r="E74" s="22">
        <f>[1]!Olekuvorrand(E$4,E$5,E$8,5,E$11,Lähteandmed!$C57,E73)</f>
        <v>131.03944063186646</v>
      </c>
      <c r="F74" s="22">
        <f>[1]!Olekuvorrand(F$4,F$5,F$8,5,F$11,Lähteandmed!$C57,F73)</f>
        <v>131.45595788955688</v>
      </c>
      <c r="G74" s="22">
        <f>[1]!Olekuvorrand(G$4,G$5,G$8,5,G$11,Lähteandmed!$C57,G73)</f>
        <v>136.94411516189575</v>
      </c>
      <c r="H74" s="22">
        <f>[1]!Olekuvorrand(H$4,H$5,H$8,5,H$11,Lähteandmed!$C57,H73)</f>
        <v>132.16346502304077</v>
      </c>
      <c r="I74" s="22">
        <f>[1]!Olekuvorrand(I$4,I$5,I$8,5,I$11,Lähteandmed!$C57,I73)</f>
        <v>132.1989893913269</v>
      </c>
      <c r="J74" s="22">
        <f>[1]!Olekuvorrand(J$4,J$5,J$8,5,J$11,Lähteandmed!$C57,J73)</f>
        <v>134.08964872360229</v>
      </c>
      <c r="K74" s="22">
        <f>[1]!Olekuvorrand(K$4,K$5,K$8,5,K$11,Lähteandmed!$C57,K73)</f>
        <v>121.11145257949829</v>
      </c>
      <c r="L74" s="22">
        <f>[1]!Olekuvorrand(L$4,L$5,L$8,5,L$11,Lähteandmed!$C57,L73)</f>
        <v>127.68763303756714</v>
      </c>
      <c r="M74" s="22">
        <f>[1]!Olekuvorrand(M$4,M$5,M$8,5,M$11,Lähteandmed!$C57,M73)</f>
        <v>130.58298826217651</v>
      </c>
      <c r="N74" s="22">
        <f>[1]!Olekuvorrand(N$4,N$5,N$8,5,N$11,Lähteandmed!$C57,N73)</f>
        <v>130.76633214950562</v>
      </c>
      <c r="O74" s="22">
        <f>[1]!Olekuvorrand(O$4,O$5,O$8,5,O$11,Lähteandmed!$C57,O73)</f>
        <v>133.58360528945923</v>
      </c>
      <c r="P74" s="22">
        <f>[1]!Olekuvorrand(P$4,P$5,P$8,5,P$11,Lähteandmed!$C57,P73)</f>
        <v>136.8059515953064</v>
      </c>
      <c r="Q74" s="22">
        <f>[1]!Olekuvorrand(Q$4,Q$5,Q$8,5,Q$11,Lähteandmed!$C57,Q73)</f>
        <v>136.75326108932495</v>
      </c>
      <c r="R74" s="22">
        <f>[1]!Olekuvorrand(R$4,R$5,R$8,5,R$11,Lähteandmed!$C57,R73)</f>
        <v>132.86882638931274</v>
      </c>
      <c r="S74" s="22"/>
    </row>
    <row r="75" spans="2:19" x14ac:dyDescent="0.2">
      <c r="B75" s="174"/>
      <c r="C75" s="148" t="s">
        <v>105</v>
      </c>
      <c r="D75" s="9">
        <f>[1]!ripe(D74,D$11+Lähteandmed!$E57*$D$13,D$4,0)</f>
        <v>11.923573351865461</v>
      </c>
      <c r="E75" s="9">
        <f>[1]!ripe(E74,E$11+Lähteandmed!$E57*$D$13,E$4,0)</f>
        <v>11.722814674299434</v>
      </c>
      <c r="F75" s="9">
        <f>[1]!ripe(F74,F$11+Lähteandmed!$E57*$D$13,F$4,0)</f>
        <v>11.522437557980263</v>
      </c>
      <c r="G75" s="9">
        <f>[1]!ripe(G74,G$11+Lähteandmed!$E57*$D$13,G$4,0)</f>
        <v>7.0997972200260957</v>
      </c>
      <c r="H75" s="9">
        <f>[1]!ripe(H74,H$11+Lähteandmed!$E57*$D$13,H$4,0)</f>
        <v>10.920582006280162</v>
      </c>
      <c r="I75" s="9">
        <f>[1]!ripe(I74,I$11+Lähteandmed!$E57*$D$13,I$4,0)</f>
        <v>10.518785494609672</v>
      </c>
      <c r="J75" s="9">
        <f>[1]!ripe(J74,J$11+Lähteandmed!$E57*$D$13,J$4,0)</f>
        <v>9.7163485340163511</v>
      </c>
      <c r="K75" s="9">
        <f>[1]!ripe(K74,K$11+Lähteandmed!$E57*$D$13,K$4,0)</f>
        <v>14.219091889968928</v>
      </c>
      <c r="L75" s="9">
        <f>[1]!ripe(L74,L$11+Lähteandmed!$E57*$D$13,L$4,0)</f>
        <v>10.213231479268797</v>
      </c>
      <c r="M75" s="9">
        <f>[1]!ripe(M74,M$11+Lähteandmed!$E57*$D$13,M$4,0)</f>
        <v>13.026929951775553</v>
      </c>
      <c r="N75" s="9">
        <f>[1]!ripe(N74,N$11+Lähteandmed!$E57*$D$13,N$4,0)</f>
        <v>12.726142026034626</v>
      </c>
      <c r="O75" s="9">
        <f>[1]!ripe(O74,O$11+Lähteandmed!$E57*$D$13,O$4,0)</f>
        <v>9.715928416271181</v>
      </c>
      <c r="P75" s="9">
        <f>[1]!ripe(P74,P$11+Lähteandmed!$E57*$D$13,P$4,0)</f>
        <v>7.4023796962758306</v>
      </c>
      <c r="Q75" s="9">
        <f>[1]!ripe(Q74,Q$11+Lähteandmed!$E57*$D$13,Q$4,0)</f>
        <v>7.906446149635439</v>
      </c>
      <c r="R75" s="9">
        <f>[1]!ripe(R74,R$11+Lähteandmed!$E57*$D$13,R$4,0)</f>
        <v>10.720329929574898</v>
      </c>
      <c r="S75" s="9"/>
    </row>
    <row r="76" spans="2:19" x14ac:dyDescent="0.2">
      <c r="B76" s="174"/>
      <c r="C76" s="148" t="s">
        <v>49</v>
      </c>
      <c r="D76" s="51">
        <f t="shared" ref="D76:Q76" si="25">D75/D$4^2*1000000</f>
        <v>59.620268307582585</v>
      </c>
      <c r="E76" s="51">
        <f t="shared" si="25"/>
        <v>59.619454740713685</v>
      </c>
      <c r="F76" s="51">
        <f t="shared" si="25"/>
        <v>59.430550926902036</v>
      </c>
      <c r="G76" s="51">
        <f t="shared" si="25"/>
        <v>57.048818715313459</v>
      </c>
      <c r="H76" s="51">
        <f t="shared" si="25"/>
        <v>59.11240295219261</v>
      </c>
      <c r="I76" s="51">
        <f t="shared" si="25"/>
        <v>59.096518331724475</v>
      </c>
      <c r="J76" s="51">
        <f t="shared" si="25"/>
        <v>58.263259501140396</v>
      </c>
      <c r="K76" s="51">
        <f t="shared" si="25"/>
        <v>64.506698859646065</v>
      </c>
      <c r="L76" s="51">
        <f t="shared" si="25"/>
        <v>61.184468802092013</v>
      </c>
      <c r="M76" s="51">
        <f t="shared" si="25"/>
        <v>59.827854332101374</v>
      </c>
      <c r="N76" s="51">
        <f t="shared" si="25"/>
        <v>59.74397133864656</v>
      </c>
      <c r="O76" s="51">
        <f t="shared" si="25"/>
        <v>58.483973262072645</v>
      </c>
      <c r="P76" s="51">
        <f t="shared" si="25"/>
        <v>57.106433666794032</v>
      </c>
      <c r="Q76" s="51">
        <f t="shared" si="25"/>
        <v>57.128436556236899</v>
      </c>
      <c r="R76" s="51">
        <f>R75/R$4^2*1000000</f>
        <v>58.798592659417025</v>
      </c>
      <c r="S76" s="51"/>
    </row>
    <row r="77" spans="2:19" ht="38.25" x14ac:dyDescent="0.2">
      <c r="B77" s="173">
        <f>Lähteandmed!B60</f>
        <v>0</v>
      </c>
      <c r="C77" s="147" t="s">
        <v>222</v>
      </c>
      <c r="D77" s="6">
        <f>SQRT((kaalutegur R_13*[1]!juhe(D5,6)+jaitetegur R_13*[1]!Jaitekoormus_EN(D$5,JaideJ,hj))^2+(tuuletegur R_13*[1]!Tuulekoormus_en(D$5,Qt,ht,zo,D$4,JaideJ,jaitetegur R_13))^2)</f>
        <v>0</v>
      </c>
      <c r="E77" s="6">
        <f>SQRT((kaalutegur R_13*[1]!juhe(E5,6)+jaitetegur R_13*[1]!Jaitekoormus_EN(E$5,JaideJ,hj))^2+(tuuletegur R_13*[1]!Tuulekoormus_en(E$5,Qt,ht,zo,E$4,JaideJ,jaitetegur R_13))^2)</f>
        <v>0</v>
      </c>
      <c r="F77" s="6">
        <f>SQRT((kaalutegur R_13*[1]!juhe(F5,6)+jaitetegur R_13*[1]!Jaitekoormus_EN(F$5,JaideJ,hj))^2+(tuuletegur R_13*[1]!Tuulekoormus_en(F$5,Qt,ht,zo,F$4,JaideJ,jaitetegur R_13))^2)</f>
        <v>0</v>
      </c>
      <c r="G77" s="6">
        <f>SQRT((kaalutegur R_13*[1]!juhe(G5,6)+jaitetegur R_13*[1]!Jaitekoormus_EN(G$5,JaideJ,hj))^2+(tuuletegur R_13*[1]!Tuulekoormus_en(G$5,Qt,ht,zo,G$4,JaideJ,jaitetegur R_13))^2)</f>
        <v>0</v>
      </c>
      <c r="H77" s="6">
        <f>SQRT((kaalutegur R_13*[1]!juhe(H5,6)+jaitetegur R_13*[1]!Jaitekoormus_EN(H$5,JaideJ,hj))^2+(tuuletegur R_13*[1]!Tuulekoormus_en(H$5,Qt,ht,zo,H$4,JaideJ,jaitetegur R_13))^2)</f>
        <v>0</v>
      </c>
      <c r="I77" s="6">
        <f>SQRT((kaalutegur R_13*[1]!juhe(I5,6)+jaitetegur R_13*[1]!Jaitekoormus_EN(I$5,JaideJ,hj))^2+(tuuletegur R_13*[1]!Tuulekoormus_en(I$5,Qt,ht,zo,I$4,JaideJ,jaitetegur R_13))^2)</f>
        <v>0</v>
      </c>
      <c r="J77" s="6">
        <f>SQRT((kaalutegur R_13*[1]!juhe(J5,6)+jaitetegur R_13*[1]!Jaitekoormus_EN(J$5,JaideJ,hj))^2+(tuuletegur R_13*[1]!Tuulekoormus_en(J$5,Qt,ht,zo,J$4,JaideJ,jaitetegur R_13))^2)</f>
        <v>0</v>
      </c>
      <c r="K77" s="6">
        <f>SQRT((kaalutegur R_13*[1]!juhe(K5,6)+jaitetegur R_13*[1]!Jaitekoormus_EN(K$5,JaideJ,hj))^2+(tuuletegur R_13*[1]!Tuulekoormus_en(K$5,Qt,ht,zo,K$4,JaideJ,jaitetegur R_13))^2)</f>
        <v>0</v>
      </c>
      <c r="L77" s="6">
        <f>SQRT((kaalutegur R_13*[1]!juhe(L5,6)+jaitetegur R_13*[1]!Jaitekoormus_EN(L$5,JaideJ,hj))^2+(tuuletegur R_13*[1]!Tuulekoormus_en(L$5,Qt,ht,zo,L$4,JaideJ,jaitetegur R_13))^2)</f>
        <v>0</v>
      </c>
      <c r="M77" s="6">
        <f>SQRT((kaalutegur R_13*[1]!juhe(M5,6)+jaitetegur R_13*[1]!Jaitekoormus_EN(M$5,JaideJ,hj))^2+(tuuletegur R_13*[1]!Tuulekoormus_en(M$5,Qt,ht,zo,M$4,JaideJ,jaitetegur R_13))^2)</f>
        <v>0</v>
      </c>
      <c r="N77" s="6">
        <f>SQRT((kaalutegur R_13*[1]!juhe(N5,6)+jaitetegur R_13*[1]!Jaitekoormus_EN(N$5,JaideJ,hj))^2+(tuuletegur R_13*[1]!Tuulekoormus_en(N$5,Qt,ht,zo,N$4,JaideJ,jaitetegur R_13))^2)</f>
        <v>0</v>
      </c>
      <c r="O77" s="6">
        <f>SQRT((kaalutegur R_13*[1]!juhe(O5,6)+jaitetegur R_13*[1]!Jaitekoormus_EN(O$5,JaideJ,hj))^2+(tuuletegur R_13*[1]!Tuulekoormus_en(O$5,Qt,ht,zo,O$4,JaideJ,jaitetegur R_13))^2)</f>
        <v>0</v>
      </c>
      <c r="P77" s="6">
        <f>SQRT((kaalutegur R_13*[1]!juhe(P5,6)+jaitetegur R_13*[1]!Jaitekoormus_EN(P$5,JaideJ,hj))^2+(tuuletegur R_13*[1]!Tuulekoormus_en(P$5,Qt,ht,zo,P$4,JaideJ,jaitetegur R_13))^2)</f>
        <v>0</v>
      </c>
      <c r="Q77" s="6">
        <f>SQRT((kaalutegur R_13*[1]!juhe(Q5,6)+jaitetegur R_13*[1]!Jaitekoormus_EN(Q$5,JaideJ,hj))^2+(tuuletegur R_13*[1]!Tuulekoormus_en(Q$5,Qt,ht,zo,Q$4,JaideJ,jaitetegur R_13))^2)</f>
        <v>0</v>
      </c>
      <c r="R77" s="6">
        <f>SQRT((kaalutegur R_13*[1]!juhe(R5,6)+jaitetegur R_13*[1]!Jaitekoormus_EN(R$5,JaideJ,hj))^2+(tuuletegur R_13*[1]!Tuulekoormus_en(R$5,Qt,ht,zo,R$4,JaideJ,jaitetegur R_13))^2)</f>
        <v>0</v>
      </c>
      <c r="S77" s="6"/>
    </row>
    <row r="78" spans="2:19" x14ac:dyDescent="0.2">
      <c r="B78" s="173"/>
      <c r="C78" s="147" t="s">
        <v>104</v>
      </c>
      <c r="D78" s="3">
        <f>[1]!Olekuvorrand(D$4,D$5,D$8,5,D$11,Lähteandmed!$C60,D77)</f>
        <v>0</v>
      </c>
      <c r="E78" s="3">
        <f>[1]!Olekuvorrand(E$4,E$5,E$8,5,E$11,Lähteandmed!$C60,E77)</f>
        <v>0</v>
      </c>
      <c r="F78" s="3">
        <f>[1]!Olekuvorrand(F$4,F$5,F$8,5,F$11,Lähteandmed!$C60,F77)</f>
        <v>0</v>
      </c>
      <c r="G78" s="3">
        <f>[1]!Olekuvorrand(G$4,G$5,G$8,5,G$11,Lähteandmed!$C60,G77)</f>
        <v>0</v>
      </c>
      <c r="H78" s="3">
        <f>[1]!Olekuvorrand(H$4,H$5,H$8,5,H$11,Lähteandmed!$C60,H77)</f>
        <v>0</v>
      </c>
      <c r="I78" s="3">
        <f>[1]!Olekuvorrand(I$4,I$5,I$8,5,I$11,Lähteandmed!$C60,I77)</f>
        <v>0</v>
      </c>
      <c r="J78" s="3">
        <f>[1]!Olekuvorrand(J$4,J$5,J$8,5,J$11,Lähteandmed!$C60,J77)</f>
        <v>0</v>
      </c>
      <c r="K78" s="3">
        <f>[1]!Olekuvorrand(K$4,K$5,K$8,5,K$11,Lähteandmed!$C60,K77)</f>
        <v>0</v>
      </c>
      <c r="L78" s="3">
        <f>[1]!Olekuvorrand(L$4,L$5,L$8,5,L$11,Lähteandmed!$C60,L77)</f>
        <v>0</v>
      </c>
      <c r="M78" s="3">
        <f>[1]!Olekuvorrand(M$4,M$5,M$8,5,M$11,Lähteandmed!$C60,M77)</f>
        <v>0</v>
      </c>
      <c r="N78" s="3">
        <f>[1]!Olekuvorrand(N$4,N$5,N$8,5,N$11,Lähteandmed!$C60,N77)</f>
        <v>0</v>
      </c>
      <c r="O78" s="3">
        <f>[1]!Olekuvorrand(O$4,O$5,O$8,5,O$11,Lähteandmed!$C60,O77)</f>
        <v>0</v>
      </c>
      <c r="P78" s="3">
        <f>[1]!Olekuvorrand(P$4,P$5,P$8,5,P$11,Lähteandmed!$C60,P77)</f>
        <v>0</v>
      </c>
      <c r="Q78" s="3">
        <f>[1]!Olekuvorrand(Q$4,Q$5,Q$8,5,Q$11,Lähteandmed!$C60,Q77)</f>
        <v>0</v>
      </c>
      <c r="R78" s="3">
        <f>[1]!Olekuvorrand(R$4,R$5,R$8,5,R$11,Lähteandmed!$C60,R77)</f>
        <v>0</v>
      </c>
      <c r="S78" s="3"/>
    </row>
    <row r="79" spans="2:19" x14ac:dyDescent="0.2">
      <c r="B79" s="173"/>
      <c r="C79" s="147" t="s">
        <v>105</v>
      </c>
      <c r="D79" s="3">
        <f>[1]!ripe(D78,D$11+Lähteandmed!$E60*$D$13,D$4,0)</f>
        <v>0</v>
      </c>
      <c r="E79" s="3">
        <f>[1]!ripe(E78,E$11+Lähteandmed!$E60*$D$13,E$4,0)</f>
        <v>0</v>
      </c>
      <c r="F79" s="3">
        <f>[1]!ripe(F78,F$11+Lähteandmed!$E60*$D$13,F$4,0)</f>
        <v>0</v>
      </c>
      <c r="G79" s="3">
        <f>[1]!ripe(G78,G$11+Lähteandmed!$E60*$D$13,G$4,0)</f>
        <v>0</v>
      </c>
      <c r="H79" s="3">
        <f>[1]!ripe(H78,H$11+Lähteandmed!$E60*$D$13,H$4,0)</f>
        <v>0</v>
      </c>
      <c r="I79" s="3">
        <f>[1]!ripe(I78,I$11+Lähteandmed!$E60*$D$13,I$4,0)</f>
        <v>0</v>
      </c>
      <c r="J79" s="3">
        <f>[1]!ripe(J78,J$11+Lähteandmed!$E60*$D$13,J$4,0)</f>
        <v>0</v>
      </c>
      <c r="K79" s="3">
        <f>[1]!ripe(K78,K$11+Lähteandmed!$E60*$D$13,K$4,0)</f>
        <v>0</v>
      </c>
      <c r="L79" s="3">
        <f>[1]!ripe(L78,L$11+Lähteandmed!$E60*$D$13,L$4,0)</f>
        <v>0</v>
      </c>
      <c r="M79" s="3">
        <f>[1]!ripe(M78,M$11+Lähteandmed!$E60*$D$13,M$4,0)</f>
        <v>0</v>
      </c>
      <c r="N79" s="3">
        <f>[1]!ripe(N78,N$11+Lähteandmed!$E60*$D$13,N$4,0)</f>
        <v>0</v>
      </c>
      <c r="O79" s="3">
        <f>[1]!ripe(O78,O$11+Lähteandmed!$E60*$D$13,O$4,0)</f>
        <v>0</v>
      </c>
      <c r="P79" s="3">
        <f>[1]!ripe(P78,P$11+Lähteandmed!$E60*$D$13,P$4,0)</f>
        <v>0</v>
      </c>
      <c r="Q79" s="3">
        <f>[1]!ripe(Q78,Q$11+Lähteandmed!$E60*$D$13,Q$4,0)</f>
        <v>0</v>
      </c>
      <c r="R79" s="3">
        <f>[1]!ripe(R78,R$11+Lähteandmed!$E60*$D$13,R$4,0)</f>
        <v>0</v>
      </c>
      <c r="S79" s="3"/>
    </row>
    <row r="80" spans="2:19" x14ac:dyDescent="0.2">
      <c r="B80" s="173"/>
      <c r="C80" s="147" t="s">
        <v>49</v>
      </c>
      <c r="D80" s="50">
        <f t="shared" ref="D80:Q80" si="26">D79/D$4^2*1000000</f>
        <v>0</v>
      </c>
      <c r="E80" s="50">
        <f t="shared" si="26"/>
        <v>0</v>
      </c>
      <c r="F80" s="50">
        <f t="shared" si="26"/>
        <v>0</v>
      </c>
      <c r="G80" s="50">
        <f t="shared" si="26"/>
        <v>0</v>
      </c>
      <c r="H80" s="50">
        <f t="shared" si="26"/>
        <v>0</v>
      </c>
      <c r="I80" s="50">
        <f t="shared" si="26"/>
        <v>0</v>
      </c>
      <c r="J80" s="50">
        <f t="shared" si="26"/>
        <v>0</v>
      </c>
      <c r="K80" s="50">
        <f t="shared" si="26"/>
        <v>0</v>
      </c>
      <c r="L80" s="50">
        <f t="shared" si="26"/>
        <v>0</v>
      </c>
      <c r="M80" s="50">
        <f t="shared" si="26"/>
        <v>0</v>
      </c>
      <c r="N80" s="50">
        <f t="shared" si="26"/>
        <v>0</v>
      </c>
      <c r="O80" s="50">
        <f t="shared" si="26"/>
        <v>0</v>
      </c>
      <c r="P80" s="50">
        <f t="shared" si="26"/>
        <v>0</v>
      </c>
      <c r="Q80" s="50">
        <f t="shared" si="26"/>
        <v>0</v>
      </c>
      <c r="R80" s="50">
        <f>R79/R$4^2*1000000</f>
        <v>0</v>
      </c>
      <c r="S80" s="50"/>
    </row>
    <row r="81" spans="2:19" ht="38.25" x14ac:dyDescent="0.2">
      <c r="B81" s="174">
        <f>Lähteandmed!B63</f>
        <v>0</v>
      </c>
      <c r="C81" s="148" t="s">
        <v>222</v>
      </c>
      <c r="D81" s="9">
        <f>SQRT((kaalutegur R_14*[1]!juhe(D5,6)+jaitetegur R_14*[1]!Jaitekoormus_EN(D$5,JaideJ,hj))^2+(tuuletegur R_14*[1]!Tuulekoormus_en(D$5,Qt,ht,zo,D$4,JaideJ,jaitetegur R_14))^2)</f>
        <v>0</v>
      </c>
      <c r="E81" s="9">
        <f>SQRT((kaalutegur R_14*[1]!juhe(E5,6)+jaitetegur R_14*[1]!Jaitekoormus_EN(E$5,JaideJ,hj))^2+(tuuletegur R_14*[1]!Tuulekoormus_en(E$5,Qt,ht,zo,E$4,JaideJ,jaitetegur R_14))^2)</f>
        <v>0</v>
      </c>
      <c r="F81" s="9">
        <f>SQRT((kaalutegur R_14*[1]!juhe(F5,6)+jaitetegur R_14*[1]!Jaitekoormus_EN(F$5,JaideJ,hj))^2+(tuuletegur R_14*[1]!Tuulekoormus_en(F$5,Qt,ht,zo,F$4,JaideJ,jaitetegur R_14))^2)</f>
        <v>0</v>
      </c>
      <c r="G81" s="9">
        <f>SQRT((kaalutegur R_14*[1]!juhe(G5,6)+jaitetegur R_14*[1]!Jaitekoormus_EN(G$5,JaideJ,hj))^2+(tuuletegur R_14*[1]!Tuulekoormus_en(G$5,Qt,ht,zo,G$4,JaideJ,jaitetegur R_14))^2)</f>
        <v>0</v>
      </c>
      <c r="H81" s="9">
        <f>SQRT((kaalutegur R_14*[1]!juhe(H5,6)+jaitetegur R_14*[1]!Jaitekoormus_EN(H$5,JaideJ,hj))^2+(tuuletegur R_14*[1]!Tuulekoormus_en(H$5,Qt,ht,zo,H$4,JaideJ,jaitetegur R_14))^2)</f>
        <v>0</v>
      </c>
      <c r="I81" s="9">
        <f>SQRT((kaalutegur R_14*[1]!juhe(I5,6)+jaitetegur R_14*[1]!Jaitekoormus_EN(I$5,JaideJ,hj))^2+(tuuletegur R_14*[1]!Tuulekoormus_en(I$5,Qt,ht,zo,I$4,JaideJ,jaitetegur R_14))^2)</f>
        <v>0</v>
      </c>
      <c r="J81" s="9">
        <f>SQRT((kaalutegur R_14*[1]!juhe(J5,6)+jaitetegur R_14*[1]!Jaitekoormus_EN(J$5,JaideJ,hj))^2+(tuuletegur R_14*[1]!Tuulekoormus_en(J$5,Qt,ht,zo,J$4,JaideJ,jaitetegur R_14))^2)</f>
        <v>0</v>
      </c>
      <c r="K81" s="9">
        <f>SQRT((kaalutegur R_14*[1]!juhe(K5,6)+jaitetegur R_14*[1]!Jaitekoormus_EN(K$5,JaideJ,hj))^2+(tuuletegur R_14*[1]!Tuulekoormus_en(K$5,Qt,ht,zo,K$4,JaideJ,jaitetegur R_14))^2)</f>
        <v>0</v>
      </c>
      <c r="L81" s="9">
        <f>SQRT((kaalutegur R_14*[1]!juhe(L5,6)+jaitetegur R_14*[1]!Jaitekoormus_EN(L$5,JaideJ,hj))^2+(tuuletegur R_14*[1]!Tuulekoormus_en(L$5,Qt,ht,zo,L$4,JaideJ,jaitetegur R_14))^2)</f>
        <v>0</v>
      </c>
      <c r="M81" s="9">
        <f>SQRT((kaalutegur R_14*[1]!juhe(M5,6)+jaitetegur R_14*[1]!Jaitekoormus_EN(M$5,JaideJ,hj))^2+(tuuletegur R_14*[1]!Tuulekoormus_en(M$5,Qt,ht,zo,M$4,JaideJ,jaitetegur R_14))^2)</f>
        <v>0</v>
      </c>
      <c r="N81" s="9">
        <f>SQRT((kaalutegur R_14*[1]!juhe(N5,6)+jaitetegur R_14*[1]!Jaitekoormus_EN(N$5,JaideJ,hj))^2+(tuuletegur R_14*[1]!Tuulekoormus_en(N$5,Qt,ht,zo,N$4,JaideJ,jaitetegur R_14))^2)</f>
        <v>0</v>
      </c>
      <c r="O81" s="9">
        <f>SQRT((kaalutegur R_14*[1]!juhe(O5,6)+jaitetegur R_14*[1]!Jaitekoormus_EN(O$5,JaideJ,hj))^2+(tuuletegur R_14*[1]!Tuulekoormus_en(O$5,Qt,ht,zo,O$4,JaideJ,jaitetegur R_14))^2)</f>
        <v>0</v>
      </c>
      <c r="P81" s="9">
        <f>SQRT((kaalutegur R_14*[1]!juhe(P5,6)+jaitetegur R_14*[1]!Jaitekoormus_EN(P$5,JaideJ,hj))^2+(tuuletegur R_14*[1]!Tuulekoormus_en(P$5,Qt,ht,zo,P$4,JaideJ,jaitetegur R_14))^2)</f>
        <v>0</v>
      </c>
      <c r="Q81" s="9">
        <f>SQRT((kaalutegur R_14*[1]!juhe(Q5,6)+jaitetegur R_14*[1]!Jaitekoormus_EN(Q$5,JaideJ,hj))^2+(tuuletegur R_14*[1]!Tuulekoormus_en(Q$5,Qt,ht,zo,Q$4,JaideJ,jaitetegur R_14))^2)</f>
        <v>0</v>
      </c>
      <c r="R81" s="9">
        <f>SQRT((kaalutegur R_14*[1]!juhe(R5,6)+jaitetegur R_14*[1]!Jaitekoormus_EN(R$5,JaideJ,hj))^2+(tuuletegur R_14*[1]!Tuulekoormus_en(R$5,Qt,ht,zo,R$4,JaideJ,jaitetegur R_14))^2)</f>
        <v>0</v>
      </c>
      <c r="S81" s="9"/>
    </row>
    <row r="82" spans="2:19" x14ac:dyDescent="0.2">
      <c r="B82" s="174"/>
      <c r="C82" s="148" t="s">
        <v>104</v>
      </c>
      <c r="D82" s="22">
        <f>[1]!Olekuvorrand(D$4,D$5,D$8,5,D$11,Lähteandmed!$C63,D81)</f>
        <v>0</v>
      </c>
      <c r="E82" s="22">
        <f>[1]!Olekuvorrand(E$4,E$5,E$8,5,E$11,Lähteandmed!$C63,E81)</f>
        <v>0</v>
      </c>
      <c r="F82" s="22">
        <f>[1]!Olekuvorrand(F$4,F$5,F$8,5,F$11,Lähteandmed!$C63,F81)</f>
        <v>0</v>
      </c>
      <c r="G82" s="22">
        <f>[1]!Olekuvorrand(G$4,G$5,G$8,5,G$11,Lähteandmed!$C63,G81)</f>
        <v>0</v>
      </c>
      <c r="H82" s="22">
        <f>[1]!Olekuvorrand(H$4,H$5,H$8,5,H$11,Lähteandmed!$C63,H81)</f>
        <v>0</v>
      </c>
      <c r="I82" s="22">
        <f>[1]!Olekuvorrand(I$4,I$5,I$8,5,I$11,Lähteandmed!$C63,I81)</f>
        <v>0</v>
      </c>
      <c r="J82" s="22">
        <f>[1]!Olekuvorrand(J$4,J$5,J$8,5,J$11,Lähteandmed!$C63,J81)</f>
        <v>0</v>
      </c>
      <c r="K82" s="22">
        <f>[1]!Olekuvorrand(K$4,K$5,K$8,5,K$11,Lähteandmed!$C63,K81)</f>
        <v>0</v>
      </c>
      <c r="L82" s="22">
        <f>[1]!Olekuvorrand(L$4,L$5,L$8,5,L$11,Lähteandmed!$C63,L81)</f>
        <v>0</v>
      </c>
      <c r="M82" s="22">
        <f>[1]!Olekuvorrand(M$4,M$5,M$8,5,M$11,Lähteandmed!$C63,M81)</f>
        <v>0</v>
      </c>
      <c r="N82" s="22">
        <f>[1]!Olekuvorrand(N$4,N$5,N$8,5,N$11,Lähteandmed!$C63,N81)</f>
        <v>0</v>
      </c>
      <c r="O82" s="22">
        <f>[1]!Olekuvorrand(O$4,O$5,O$8,5,O$11,Lähteandmed!$C63,O81)</f>
        <v>0</v>
      </c>
      <c r="P82" s="22">
        <f>[1]!Olekuvorrand(P$4,P$5,P$8,5,P$11,Lähteandmed!$C63,P81)</f>
        <v>0</v>
      </c>
      <c r="Q82" s="22">
        <f>[1]!Olekuvorrand(Q$4,Q$5,Q$8,5,Q$11,Lähteandmed!$C63,Q81)</f>
        <v>0</v>
      </c>
      <c r="R82" s="22">
        <f>[1]!Olekuvorrand(R$4,R$5,R$8,5,R$11,Lähteandmed!$C63,R81)</f>
        <v>0</v>
      </c>
      <c r="S82" s="22"/>
    </row>
    <row r="83" spans="2:19" x14ac:dyDescent="0.2">
      <c r="B83" s="174"/>
      <c r="C83" s="148" t="s">
        <v>105</v>
      </c>
      <c r="D83" s="9">
        <f>[1]!ripe(D82,D$11+Lähteandmed!$E63*$D$13,D$4,0)</f>
        <v>0</v>
      </c>
      <c r="E83" s="9">
        <f>[1]!ripe(E82,E$11+Lähteandmed!$E63*$D$13,E$4,0)</f>
        <v>0</v>
      </c>
      <c r="F83" s="9">
        <f>[1]!ripe(F82,F$11+Lähteandmed!$E63*$D$13,F$4,0)</f>
        <v>0</v>
      </c>
      <c r="G83" s="9">
        <f>[1]!ripe(G82,G$11+Lähteandmed!$E63*$D$13,G$4,0)</f>
        <v>0</v>
      </c>
      <c r="H83" s="9">
        <f>[1]!ripe(H82,H$11+Lähteandmed!$E63*$D$13,H$4,0)</f>
        <v>0</v>
      </c>
      <c r="I83" s="9">
        <f>[1]!ripe(I82,I$11+Lähteandmed!$E63*$D$13,I$4,0)</f>
        <v>0</v>
      </c>
      <c r="J83" s="9">
        <f>[1]!ripe(J82,J$11+Lähteandmed!$E63*$D$13,J$4,0)</f>
        <v>0</v>
      </c>
      <c r="K83" s="9">
        <f>[1]!ripe(K82,K$11+Lähteandmed!$E63*$D$13,K$4,0)</f>
        <v>0</v>
      </c>
      <c r="L83" s="9">
        <f>[1]!ripe(L82,L$11+Lähteandmed!$E63*$D$13,L$4,0)</f>
        <v>0</v>
      </c>
      <c r="M83" s="9">
        <f>[1]!ripe(M82,M$11+Lähteandmed!$E63*$D$13,M$4,0)</f>
        <v>0</v>
      </c>
      <c r="N83" s="9">
        <f>[1]!ripe(N82,N$11+Lähteandmed!$E63*$D$13,N$4,0)</f>
        <v>0</v>
      </c>
      <c r="O83" s="9">
        <f>[1]!ripe(O82,O$11+Lähteandmed!$E63*$D$13,O$4,0)</f>
        <v>0</v>
      </c>
      <c r="P83" s="9">
        <f>[1]!ripe(P82,P$11+Lähteandmed!$E63*$D$13,P$4,0)</f>
        <v>0</v>
      </c>
      <c r="Q83" s="9">
        <f>[1]!ripe(Q82,Q$11+Lähteandmed!$E63*$D$13,Q$4,0)</f>
        <v>0</v>
      </c>
      <c r="R83" s="9">
        <f>[1]!ripe(R82,R$11+Lähteandmed!$E63*$D$13,R$4,0)</f>
        <v>0</v>
      </c>
      <c r="S83" s="9"/>
    </row>
    <row r="84" spans="2:19" x14ac:dyDescent="0.2">
      <c r="B84" s="174"/>
      <c r="C84" s="148" t="s">
        <v>49</v>
      </c>
      <c r="D84" s="51">
        <f t="shared" ref="D84:Q84" si="27">D83/D$4^2*1000000</f>
        <v>0</v>
      </c>
      <c r="E84" s="51">
        <f t="shared" si="27"/>
        <v>0</v>
      </c>
      <c r="F84" s="51">
        <f t="shared" si="27"/>
        <v>0</v>
      </c>
      <c r="G84" s="51">
        <f t="shared" si="27"/>
        <v>0</v>
      </c>
      <c r="H84" s="51">
        <f t="shared" si="27"/>
        <v>0</v>
      </c>
      <c r="I84" s="51">
        <f t="shared" si="27"/>
        <v>0</v>
      </c>
      <c r="J84" s="51">
        <f t="shared" si="27"/>
        <v>0</v>
      </c>
      <c r="K84" s="51">
        <f t="shared" si="27"/>
        <v>0</v>
      </c>
      <c r="L84" s="51">
        <f t="shared" si="27"/>
        <v>0</v>
      </c>
      <c r="M84" s="51">
        <f t="shared" si="27"/>
        <v>0</v>
      </c>
      <c r="N84" s="51">
        <f t="shared" si="27"/>
        <v>0</v>
      </c>
      <c r="O84" s="51">
        <f t="shared" si="27"/>
        <v>0</v>
      </c>
      <c r="P84" s="51">
        <f t="shared" si="27"/>
        <v>0</v>
      </c>
      <c r="Q84" s="51">
        <f t="shared" si="27"/>
        <v>0</v>
      </c>
      <c r="R84" s="51">
        <f>R83/R$4^2*1000000</f>
        <v>0</v>
      </c>
      <c r="S84" s="51"/>
    </row>
    <row r="85" spans="2:19" ht="38.25" x14ac:dyDescent="0.2">
      <c r="B85" s="173">
        <f>Lähteandmed!B66</f>
        <v>0</v>
      </c>
      <c r="C85" s="147" t="s">
        <v>222</v>
      </c>
      <c r="D85" s="6">
        <f>SQRT((kaalutegur R_15*[1]!juhe(D5,6)+jaitetegur R_15*[1]!Jaitekoormus_EN(D$5,JaideJ,hj))^2+(tuuletegur R_15*[1]!Tuulekoormus_en(D$5,Qt,ht,zo,D$4,JaideJ,jaitetegur R_15))^2)</f>
        <v>0</v>
      </c>
      <c r="E85" s="6">
        <f>SQRT((kaalutegur R_15*[1]!juhe(E5,6)+jaitetegur R_15*[1]!Jaitekoormus_EN(E$5,JaideJ,hj))^2+(tuuletegur R_15*[1]!Tuulekoormus_en(E$5,Qt,ht,zo,E$4,JaideJ,jaitetegur R_15))^2)</f>
        <v>0</v>
      </c>
      <c r="F85" s="6">
        <f>SQRT((kaalutegur R_15*[1]!juhe(F5,6)+jaitetegur R_15*[1]!Jaitekoormus_EN(F$5,JaideJ,hj))^2+(tuuletegur R_15*[1]!Tuulekoormus_en(F$5,Qt,ht,zo,F$4,JaideJ,jaitetegur R_15))^2)</f>
        <v>0</v>
      </c>
      <c r="G85" s="6">
        <f>SQRT((kaalutegur R_15*[1]!juhe(G5,6)+jaitetegur R_15*[1]!Jaitekoormus_EN(G$5,JaideJ,hj))^2+(tuuletegur R_15*[1]!Tuulekoormus_en(G$5,Qt,ht,zo,G$4,JaideJ,jaitetegur R_15))^2)</f>
        <v>0</v>
      </c>
      <c r="H85" s="6">
        <f>SQRT((kaalutegur R_15*[1]!juhe(H5,6)+jaitetegur R_15*[1]!Jaitekoormus_EN(H$5,JaideJ,hj))^2+(tuuletegur R_15*[1]!Tuulekoormus_en(H$5,Qt,ht,zo,H$4,JaideJ,jaitetegur R_15))^2)</f>
        <v>0</v>
      </c>
      <c r="I85" s="6">
        <f>SQRT((kaalutegur R_15*[1]!juhe(I5,6)+jaitetegur R_15*[1]!Jaitekoormus_EN(I$5,JaideJ,hj))^2+(tuuletegur R_15*[1]!Tuulekoormus_en(I$5,Qt,ht,zo,I$4,JaideJ,jaitetegur R_15))^2)</f>
        <v>0</v>
      </c>
      <c r="J85" s="6">
        <f>SQRT((kaalutegur R_15*[1]!juhe(J5,6)+jaitetegur R_15*[1]!Jaitekoormus_EN(J$5,JaideJ,hj))^2+(tuuletegur R_15*[1]!Tuulekoormus_en(J$5,Qt,ht,zo,J$4,JaideJ,jaitetegur R_15))^2)</f>
        <v>0</v>
      </c>
      <c r="K85" s="6">
        <f>SQRT((kaalutegur R_15*[1]!juhe(K5,6)+jaitetegur R_15*[1]!Jaitekoormus_EN(K$5,JaideJ,hj))^2+(tuuletegur R_15*[1]!Tuulekoormus_en(K$5,Qt,ht,zo,K$4,JaideJ,jaitetegur R_15))^2)</f>
        <v>0</v>
      </c>
      <c r="L85" s="6">
        <f>SQRT((kaalutegur R_15*[1]!juhe(L5,6)+jaitetegur R_15*[1]!Jaitekoormus_EN(L$5,JaideJ,hj))^2+(tuuletegur R_15*[1]!Tuulekoormus_en(L$5,Qt,ht,zo,L$4,JaideJ,jaitetegur R_15))^2)</f>
        <v>0</v>
      </c>
      <c r="M85" s="6">
        <f>SQRT((kaalutegur R_15*[1]!juhe(M5,6)+jaitetegur R_15*[1]!Jaitekoormus_EN(M$5,JaideJ,hj))^2+(tuuletegur R_15*[1]!Tuulekoormus_en(M$5,Qt,ht,zo,M$4,JaideJ,jaitetegur R_15))^2)</f>
        <v>0</v>
      </c>
      <c r="N85" s="6">
        <f>SQRT((kaalutegur R_15*[1]!juhe(N5,6)+jaitetegur R_15*[1]!Jaitekoormus_EN(N$5,JaideJ,hj))^2+(tuuletegur R_15*[1]!Tuulekoormus_en(N$5,Qt,ht,zo,N$4,JaideJ,jaitetegur R_15))^2)</f>
        <v>0</v>
      </c>
      <c r="O85" s="6">
        <f>SQRT((kaalutegur R_15*[1]!juhe(O5,6)+jaitetegur R_15*[1]!Jaitekoormus_EN(O$5,JaideJ,hj))^2+(tuuletegur R_15*[1]!Tuulekoormus_en(O$5,Qt,ht,zo,O$4,JaideJ,jaitetegur R_15))^2)</f>
        <v>0</v>
      </c>
      <c r="P85" s="6">
        <f>SQRT((kaalutegur R_15*[1]!juhe(P5,6)+jaitetegur R_15*[1]!Jaitekoormus_EN(P$5,JaideJ,hj))^2+(tuuletegur R_15*[1]!Tuulekoormus_en(P$5,Qt,ht,zo,P$4,JaideJ,jaitetegur R_15))^2)</f>
        <v>0</v>
      </c>
      <c r="Q85" s="6">
        <f>SQRT((kaalutegur R_15*[1]!juhe(Q5,6)+jaitetegur R_15*[1]!Jaitekoormus_EN(Q$5,JaideJ,hj))^2+(tuuletegur R_15*[1]!Tuulekoormus_en(Q$5,Qt,ht,zo,Q$4,JaideJ,jaitetegur R_15))^2)</f>
        <v>0</v>
      </c>
      <c r="R85" s="6">
        <f>SQRT((kaalutegur R_15*[1]!juhe(R5,6)+jaitetegur R_15*[1]!Jaitekoormus_EN(R$5,JaideJ,hj))^2+(tuuletegur R_15*[1]!Tuulekoormus_en(R$5,Qt,ht,zo,R$4,JaideJ,jaitetegur R_15))^2)</f>
        <v>0</v>
      </c>
      <c r="S85" s="6"/>
    </row>
    <row r="86" spans="2:19" x14ac:dyDescent="0.2">
      <c r="B86" s="173"/>
      <c r="C86" s="147" t="s">
        <v>104</v>
      </c>
      <c r="D86" s="3">
        <f>[1]!Olekuvorrand(D$4,D$5,D$8,5,D$11,Lähteandmed!$C66,D85)</f>
        <v>0</v>
      </c>
      <c r="E86" s="3">
        <f>[1]!Olekuvorrand(E$4,E$5,E$8,5,E$11,Lähteandmed!$C66,E85)</f>
        <v>0</v>
      </c>
      <c r="F86" s="3">
        <f>[1]!Olekuvorrand(F$4,F$5,F$8,5,F$11,Lähteandmed!$C66,F85)</f>
        <v>0</v>
      </c>
      <c r="G86" s="3">
        <f>[1]!Olekuvorrand(G$4,G$5,G$8,5,G$11,Lähteandmed!$C66,G85)</f>
        <v>0</v>
      </c>
      <c r="H86" s="3">
        <f>[1]!Olekuvorrand(H$4,H$5,H$8,5,H$11,Lähteandmed!$C66,H85)</f>
        <v>0</v>
      </c>
      <c r="I86" s="3">
        <f>[1]!Olekuvorrand(I$4,I$5,I$8,5,I$11,Lähteandmed!$C66,I85)</f>
        <v>0</v>
      </c>
      <c r="J86" s="3">
        <f>[1]!Olekuvorrand(J$4,J$5,J$8,5,J$11,Lähteandmed!$C66,J85)</f>
        <v>0</v>
      </c>
      <c r="K86" s="3">
        <f>[1]!Olekuvorrand(K$4,K$5,K$8,5,K$11,Lähteandmed!$C66,K85)</f>
        <v>0</v>
      </c>
      <c r="L86" s="3">
        <f>[1]!Olekuvorrand(L$4,L$5,L$8,5,L$11,Lähteandmed!$C66,L85)</f>
        <v>0</v>
      </c>
      <c r="M86" s="3">
        <f>[1]!Olekuvorrand(M$4,M$5,M$8,5,M$11,Lähteandmed!$C66,M85)</f>
        <v>0</v>
      </c>
      <c r="N86" s="3">
        <f>[1]!Olekuvorrand(N$4,N$5,N$8,5,N$11,Lähteandmed!$C66,N85)</f>
        <v>0</v>
      </c>
      <c r="O86" s="3">
        <f>[1]!Olekuvorrand(O$4,O$5,O$8,5,O$11,Lähteandmed!$C66,O85)</f>
        <v>0</v>
      </c>
      <c r="P86" s="3">
        <f>[1]!Olekuvorrand(P$4,P$5,P$8,5,P$11,Lähteandmed!$C66,P85)</f>
        <v>0</v>
      </c>
      <c r="Q86" s="3">
        <f>[1]!Olekuvorrand(Q$4,Q$5,Q$8,5,Q$11,Lähteandmed!$C66,Q85)</f>
        <v>0</v>
      </c>
      <c r="R86" s="3">
        <f>[1]!Olekuvorrand(R$4,R$5,R$8,5,R$11,Lähteandmed!$C66,R85)</f>
        <v>0</v>
      </c>
      <c r="S86" s="3"/>
    </row>
    <row r="87" spans="2:19" x14ac:dyDescent="0.2">
      <c r="B87" s="173"/>
      <c r="C87" s="147" t="s">
        <v>105</v>
      </c>
      <c r="D87" s="3">
        <f>[1]!ripe(D86,D$11+Lähteandmed!$E66*$D$13,D$4,0)</f>
        <v>0</v>
      </c>
      <c r="E87" s="3">
        <f>[1]!ripe(E86,E$11+Lähteandmed!$E66*$D$13,E$4,0)</f>
        <v>0</v>
      </c>
      <c r="F87" s="3">
        <f>[1]!ripe(F86,F$11+Lähteandmed!$E66*$D$13,F$4,0)</f>
        <v>0</v>
      </c>
      <c r="G87" s="3">
        <f>[1]!ripe(G86,G$11+Lähteandmed!$E66*$D$13,G$4,0)</f>
        <v>0</v>
      </c>
      <c r="H87" s="3">
        <f>[1]!ripe(H86,H$11+Lähteandmed!$E66*$D$13,H$4,0)</f>
        <v>0</v>
      </c>
      <c r="I87" s="3">
        <f>[1]!ripe(I86,I$11+Lähteandmed!$E66*$D$13,I$4,0)</f>
        <v>0</v>
      </c>
      <c r="J87" s="3">
        <f>[1]!ripe(J86,J$11+Lähteandmed!$E66*$D$13,J$4,0)</f>
        <v>0</v>
      </c>
      <c r="K87" s="3">
        <f>[1]!ripe(K86,K$11+Lähteandmed!$E66*$D$13,K$4,0)</f>
        <v>0</v>
      </c>
      <c r="L87" s="3">
        <f>[1]!ripe(L86,L$11+Lähteandmed!$E66*$D$13,L$4,0)</f>
        <v>0</v>
      </c>
      <c r="M87" s="3">
        <f>[1]!ripe(M86,M$11+Lähteandmed!$E66*$D$13,M$4,0)</f>
        <v>0</v>
      </c>
      <c r="N87" s="3">
        <f>[1]!ripe(N86,N$11+Lähteandmed!$E66*$D$13,N$4,0)</f>
        <v>0</v>
      </c>
      <c r="O87" s="3">
        <f>[1]!ripe(O86,O$11+Lähteandmed!$E66*$D$13,O$4,0)</f>
        <v>0</v>
      </c>
      <c r="P87" s="3">
        <f>[1]!ripe(P86,P$11+Lähteandmed!$E66*$D$13,P$4,0)</f>
        <v>0</v>
      </c>
      <c r="Q87" s="3">
        <f>[1]!ripe(Q86,Q$11+Lähteandmed!$E66*$D$13,Q$4,0)</f>
        <v>0</v>
      </c>
      <c r="R87" s="3">
        <f>[1]!ripe(R86,R$11+Lähteandmed!$E66*$D$13,R$4,0)</f>
        <v>0</v>
      </c>
      <c r="S87" s="3"/>
    </row>
    <row r="88" spans="2:19" x14ac:dyDescent="0.2">
      <c r="B88" s="173"/>
      <c r="C88" s="147" t="s">
        <v>49</v>
      </c>
      <c r="D88" s="50">
        <f t="shared" ref="D88:Q88" si="28">D87/D$4^2*1000000</f>
        <v>0</v>
      </c>
      <c r="E88" s="50">
        <f t="shared" si="28"/>
        <v>0</v>
      </c>
      <c r="F88" s="50">
        <f t="shared" si="28"/>
        <v>0</v>
      </c>
      <c r="G88" s="50">
        <f t="shared" si="28"/>
        <v>0</v>
      </c>
      <c r="H88" s="50">
        <f t="shared" si="28"/>
        <v>0</v>
      </c>
      <c r="I88" s="50">
        <f t="shared" si="28"/>
        <v>0</v>
      </c>
      <c r="J88" s="50">
        <f t="shared" si="28"/>
        <v>0</v>
      </c>
      <c r="K88" s="50">
        <f t="shared" si="28"/>
        <v>0</v>
      </c>
      <c r="L88" s="50">
        <f t="shared" si="28"/>
        <v>0</v>
      </c>
      <c r="M88" s="50">
        <f t="shared" si="28"/>
        <v>0</v>
      </c>
      <c r="N88" s="50">
        <f t="shared" si="28"/>
        <v>0</v>
      </c>
      <c r="O88" s="50">
        <f t="shared" si="28"/>
        <v>0</v>
      </c>
      <c r="P88" s="50">
        <f t="shared" si="28"/>
        <v>0</v>
      </c>
      <c r="Q88" s="50">
        <f t="shared" si="28"/>
        <v>0</v>
      </c>
      <c r="R88" s="50">
        <f>R87/R$4^2*1000000</f>
        <v>0</v>
      </c>
      <c r="S88" s="50"/>
    </row>
    <row r="89" spans="2:19" ht="38.25" x14ac:dyDescent="0.2">
      <c r="B89" s="174">
        <f>Lähteandmed!B69</f>
        <v>0</v>
      </c>
      <c r="C89" s="148" t="s">
        <v>222</v>
      </c>
      <c r="D89" s="9">
        <f>SQRT((kaalutegur R_16*[1]!juhe(D5,6)+jaitetegur R_16*[1]!Jaitekoormus_EN(D$5,JaideJ,hj))^2+(tuuletegur R_16*[1]!Tuulekoormus_en(D$5,Qt,ht,zo,D$4,JaideJ,jaitetegur R_16))^2)</f>
        <v>0</v>
      </c>
      <c r="E89" s="9">
        <f>SQRT((kaalutegur R_16*[1]!juhe(E5,6)+jaitetegur R_16*[1]!Jaitekoormus_EN(E$5,JaideJ,hj))^2+(tuuletegur R_16*[1]!Tuulekoormus_en(E$5,Qt,ht,zo,E$4,JaideJ,jaitetegur R_16))^2)</f>
        <v>0</v>
      </c>
      <c r="F89" s="9">
        <f>SQRT((kaalutegur R_16*[1]!juhe(F5,6)+jaitetegur R_16*[1]!Jaitekoormus_EN(F$5,JaideJ,hj))^2+(tuuletegur R_16*[1]!Tuulekoormus_en(F$5,Qt,ht,zo,F$4,JaideJ,jaitetegur R_16))^2)</f>
        <v>0</v>
      </c>
      <c r="G89" s="9">
        <f>SQRT((kaalutegur R_16*[1]!juhe(G5,6)+jaitetegur R_16*[1]!Jaitekoormus_EN(G$5,JaideJ,hj))^2+(tuuletegur R_16*[1]!Tuulekoormus_en(G$5,Qt,ht,zo,G$4,JaideJ,jaitetegur R_16))^2)</f>
        <v>0</v>
      </c>
      <c r="H89" s="9">
        <f>SQRT((kaalutegur R_16*[1]!juhe(H5,6)+jaitetegur R_16*[1]!Jaitekoormus_EN(H$5,JaideJ,hj))^2+(tuuletegur R_16*[1]!Tuulekoormus_en(H$5,Qt,ht,zo,H$4,JaideJ,jaitetegur R_16))^2)</f>
        <v>0</v>
      </c>
      <c r="I89" s="9">
        <f>SQRT((kaalutegur R_16*[1]!juhe(I5,6)+jaitetegur R_16*[1]!Jaitekoormus_EN(I$5,JaideJ,hj))^2+(tuuletegur R_16*[1]!Tuulekoormus_en(I$5,Qt,ht,zo,I$4,JaideJ,jaitetegur R_16))^2)</f>
        <v>0</v>
      </c>
      <c r="J89" s="9">
        <f>SQRT((kaalutegur R_16*[1]!juhe(J5,6)+jaitetegur R_16*[1]!Jaitekoormus_EN(J$5,JaideJ,hj))^2+(tuuletegur R_16*[1]!Tuulekoormus_en(J$5,Qt,ht,zo,J$4,JaideJ,jaitetegur R_16))^2)</f>
        <v>0</v>
      </c>
      <c r="K89" s="9">
        <f>SQRT((kaalutegur R_16*[1]!juhe(K5,6)+jaitetegur R_16*[1]!Jaitekoormus_EN(K$5,JaideJ,hj))^2+(tuuletegur R_16*[1]!Tuulekoormus_en(K$5,Qt,ht,zo,K$4,JaideJ,jaitetegur R_16))^2)</f>
        <v>0</v>
      </c>
      <c r="L89" s="9">
        <f>SQRT((kaalutegur R_16*[1]!juhe(L5,6)+jaitetegur R_16*[1]!Jaitekoormus_EN(L$5,JaideJ,hj))^2+(tuuletegur R_16*[1]!Tuulekoormus_en(L$5,Qt,ht,zo,L$4,JaideJ,jaitetegur R_16))^2)</f>
        <v>0</v>
      </c>
      <c r="M89" s="9">
        <f>SQRT((kaalutegur R_16*[1]!juhe(M5,6)+jaitetegur R_16*[1]!Jaitekoormus_EN(M$5,JaideJ,hj))^2+(tuuletegur R_16*[1]!Tuulekoormus_en(M$5,Qt,ht,zo,M$4,JaideJ,jaitetegur R_16))^2)</f>
        <v>0</v>
      </c>
      <c r="N89" s="9">
        <f>SQRT((kaalutegur R_16*[1]!juhe(N5,6)+jaitetegur R_16*[1]!Jaitekoormus_EN(N$5,JaideJ,hj))^2+(tuuletegur R_16*[1]!Tuulekoormus_en(N$5,Qt,ht,zo,N$4,JaideJ,jaitetegur R_16))^2)</f>
        <v>0</v>
      </c>
      <c r="O89" s="9">
        <f>SQRT((kaalutegur R_16*[1]!juhe(O5,6)+jaitetegur R_16*[1]!Jaitekoormus_EN(O$5,JaideJ,hj))^2+(tuuletegur R_16*[1]!Tuulekoormus_en(O$5,Qt,ht,zo,O$4,JaideJ,jaitetegur R_16))^2)</f>
        <v>0</v>
      </c>
      <c r="P89" s="9">
        <f>SQRT((kaalutegur R_16*[1]!juhe(P5,6)+jaitetegur R_16*[1]!Jaitekoormus_EN(P$5,JaideJ,hj))^2+(tuuletegur R_16*[1]!Tuulekoormus_en(P$5,Qt,ht,zo,P$4,JaideJ,jaitetegur R_16))^2)</f>
        <v>0</v>
      </c>
      <c r="Q89" s="9">
        <f>SQRT((kaalutegur R_16*[1]!juhe(Q5,6)+jaitetegur R_16*[1]!Jaitekoormus_EN(Q$5,JaideJ,hj))^2+(tuuletegur R_16*[1]!Tuulekoormus_en(Q$5,Qt,ht,zo,Q$4,JaideJ,jaitetegur R_16))^2)</f>
        <v>0</v>
      </c>
      <c r="R89" s="9">
        <f>SQRT((kaalutegur R_16*[1]!juhe(R5,6)+jaitetegur R_16*[1]!Jaitekoormus_EN(R$5,JaideJ,hj))^2+(tuuletegur R_16*[1]!Tuulekoormus_en(R$5,Qt,ht,zo,R$4,JaideJ,jaitetegur R_16))^2)</f>
        <v>0</v>
      </c>
      <c r="S89" s="9"/>
    </row>
    <row r="90" spans="2:19" x14ac:dyDescent="0.2">
      <c r="B90" s="174"/>
      <c r="C90" s="148" t="s">
        <v>104</v>
      </c>
      <c r="D90" s="22">
        <f>[1]!Olekuvorrand(D$4,D$5,D$8,5,D$11,Lähteandmed!$C69,D89)</f>
        <v>0</v>
      </c>
      <c r="E90" s="22">
        <f>[1]!Olekuvorrand(E$4,E$5,E$8,5,E$11,Lähteandmed!$C69,E89)</f>
        <v>0</v>
      </c>
      <c r="F90" s="22">
        <f>[1]!Olekuvorrand(F$4,F$5,F$8,5,F$11,Lähteandmed!$C69,F89)</f>
        <v>0</v>
      </c>
      <c r="G90" s="22">
        <f>[1]!Olekuvorrand(G$4,G$5,G$8,5,G$11,Lähteandmed!$C69,G89)</f>
        <v>0</v>
      </c>
      <c r="H90" s="22">
        <f>[1]!Olekuvorrand(H$4,H$5,H$8,5,H$11,Lähteandmed!$C69,H89)</f>
        <v>0</v>
      </c>
      <c r="I90" s="22">
        <f>[1]!Olekuvorrand(I$4,I$5,I$8,5,I$11,Lähteandmed!$C69,I89)</f>
        <v>0</v>
      </c>
      <c r="J90" s="22">
        <f>[1]!Olekuvorrand(J$4,J$5,J$8,5,J$11,Lähteandmed!$C69,J89)</f>
        <v>0</v>
      </c>
      <c r="K90" s="22">
        <f>[1]!Olekuvorrand(K$4,K$5,K$8,5,K$11,Lähteandmed!$C69,K89)</f>
        <v>0</v>
      </c>
      <c r="L90" s="22">
        <f>[1]!Olekuvorrand(L$4,L$5,L$8,5,L$11,Lähteandmed!$C69,L89)</f>
        <v>0</v>
      </c>
      <c r="M90" s="22">
        <f>[1]!Olekuvorrand(M$4,M$5,M$8,5,M$11,Lähteandmed!$C69,M89)</f>
        <v>0</v>
      </c>
      <c r="N90" s="22">
        <f>[1]!Olekuvorrand(N$4,N$5,N$8,5,N$11,Lähteandmed!$C69,N89)</f>
        <v>0</v>
      </c>
      <c r="O90" s="22">
        <f>[1]!Olekuvorrand(O$4,O$5,O$8,5,O$11,Lähteandmed!$C69,O89)</f>
        <v>0</v>
      </c>
      <c r="P90" s="22">
        <f>[1]!Olekuvorrand(P$4,P$5,P$8,5,P$11,Lähteandmed!$C69,P89)</f>
        <v>0</v>
      </c>
      <c r="Q90" s="22">
        <f>[1]!Olekuvorrand(Q$4,Q$5,Q$8,5,Q$11,Lähteandmed!$C69,Q89)</f>
        <v>0</v>
      </c>
      <c r="R90" s="22">
        <f>[1]!Olekuvorrand(R$4,R$5,R$8,5,R$11,Lähteandmed!$C69,R89)</f>
        <v>0</v>
      </c>
      <c r="S90" s="22"/>
    </row>
    <row r="91" spans="2:19" x14ac:dyDescent="0.2">
      <c r="B91" s="174"/>
      <c r="C91" s="148" t="s">
        <v>105</v>
      </c>
      <c r="D91" s="9">
        <f>[1]!ripe(D90,D$11+Lähteandmed!$E69*$D$13,D$4,0)</f>
        <v>0</v>
      </c>
      <c r="E91" s="9">
        <f>[1]!ripe(E90,E$11+Lähteandmed!$E69*$D$13,E$4,0)</f>
        <v>0</v>
      </c>
      <c r="F91" s="9">
        <f>[1]!ripe(F90,F$11+Lähteandmed!$E69*$D$13,F$4,0)</f>
        <v>0</v>
      </c>
      <c r="G91" s="9">
        <f>[1]!ripe(G90,G$11+Lähteandmed!$E69*$D$13,G$4,0)</f>
        <v>0</v>
      </c>
      <c r="H91" s="9">
        <f>[1]!ripe(H90,H$11+Lähteandmed!$E69*$D$13,H$4,0)</f>
        <v>0</v>
      </c>
      <c r="I91" s="9">
        <f>[1]!ripe(I90,I$11+Lähteandmed!$E69*$D$13,I$4,0)</f>
        <v>0</v>
      </c>
      <c r="J91" s="9">
        <f>[1]!ripe(J90,J$11+Lähteandmed!$E69*$D$13,J$4,0)</f>
        <v>0</v>
      </c>
      <c r="K91" s="9">
        <f>[1]!ripe(K90,K$11+Lähteandmed!$E69*$D$13,K$4,0)</f>
        <v>0</v>
      </c>
      <c r="L91" s="9">
        <f>[1]!ripe(L90,L$11+Lähteandmed!$E69*$D$13,L$4,0)</f>
        <v>0</v>
      </c>
      <c r="M91" s="9">
        <f>[1]!ripe(M90,M$11+Lähteandmed!$E69*$D$13,M$4,0)</f>
        <v>0</v>
      </c>
      <c r="N91" s="9">
        <f>[1]!ripe(N90,N$11+Lähteandmed!$E69*$D$13,N$4,0)</f>
        <v>0</v>
      </c>
      <c r="O91" s="9">
        <f>[1]!ripe(O90,O$11+Lähteandmed!$E69*$D$13,O$4,0)</f>
        <v>0</v>
      </c>
      <c r="P91" s="9">
        <f>[1]!ripe(P90,P$11+Lähteandmed!$E69*$D$13,P$4,0)</f>
        <v>0</v>
      </c>
      <c r="Q91" s="9">
        <f>[1]!ripe(Q90,Q$11+Lähteandmed!$E69*$D$13,Q$4,0)</f>
        <v>0</v>
      </c>
      <c r="R91" s="9">
        <f>[1]!ripe(R90,R$11+Lähteandmed!$E69*$D$13,R$4,0)</f>
        <v>0</v>
      </c>
      <c r="S91" s="9"/>
    </row>
    <row r="92" spans="2:19" x14ac:dyDescent="0.2">
      <c r="B92" s="174"/>
      <c r="C92" s="148" t="s">
        <v>49</v>
      </c>
      <c r="D92" s="51">
        <f t="shared" ref="D92:Q92" si="29">D91/D$4^2*1000000</f>
        <v>0</v>
      </c>
      <c r="E92" s="51">
        <f t="shared" si="29"/>
        <v>0</v>
      </c>
      <c r="F92" s="51">
        <f t="shared" si="29"/>
        <v>0</v>
      </c>
      <c r="G92" s="51">
        <f t="shared" si="29"/>
        <v>0</v>
      </c>
      <c r="H92" s="51">
        <f t="shared" si="29"/>
        <v>0</v>
      </c>
      <c r="I92" s="51">
        <f t="shared" si="29"/>
        <v>0</v>
      </c>
      <c r="J92" s="51">
        <f t="shared" si="29"/>
        <v>0</v>
      </c>
      <c r="K92" s="51">
        <f t="shared" si="29"/>
        <v>0</v>
      </c>
      <c r="L92" s="51">
        <f t="shared" si="29"/>
        <v>0</v>
      </c>
      <c r="M92" s="51">
        <f t="shared" si="29"/>
        <v>0</v>
      </c>
      <c r="N92" s="51">
        <f t="shared" si="29"/>
        <v>0</v>
      </c>
      <c r="O92" s="51">
        <f t="shared" si="29"/>
        <v>0</v>
      </c>
      <c r="P92" s="51">
        <f t="shared" si="29"/>
        <v>0</v>
      </c>
      <c r="Q92" s="51">
        <f t="shared" si="29"/>
        <v>0</v>
      </c>
      <c r="R92" s="51">
        <f>R91/R$4^2*1000000</f>
        <v>0</v>
      </c>
      <c r="S92" s="51"/>
    </row>
    <row r="93" spans="2:19" ht="38.25" x14ac:dyDescent="0.2">
      <c r="B93" s="173">
        <f>Lähteandmed!B72</f>
        <v>0</v>
      </c>
      <c r="C93" s="147" t="s">
        <v>222</v>
      </c>
      <c r="D93" s="6">
        <f>SQRT((kaalutegur R_17*[1]!juhe(D5,6)+jaitetegur R_17*[1]!Jaitekoormus_EN(D$5,JaideJ,hj))^2+(tuuletegur R_17*[1]!Tuulekoormus_en(D$5,Qt,ht,zo,D$4,JaideJ,jaitetegur R_17))^2)</f>
        <v>0</v>
      </c>
      <c r="E93" s="6">
        <f>SQRT((kaalutegur R_17*[1]!juhe(E5,6)+jaitetegur R_17*[1]!Jaitekoormus_EN(E$5,JaideJ,hj))^2+(tuuletegur R_17*[1]!Tuulekoormus_en(E$5,Qt,ht,zo,E$4,JaideJ,jaitetegur R_17))^2)</f>
        <v>0</v>
      </c>
      <c r="F93" s="6">
        <f>SQRT((kaalutegur R_17*[1]!juhe(F5,6)+jaitetegur R_17*[1]!Jaitekoormus_EN(F$5,JaideJ,hj))^2+(tuuletegur R_17*[1]!Tuulekoormus_en(F$5,Qt,ht,zo,F$4,JaideJ,jaitetegur R_17))^2)</f>
        <v>0</v>
      </c>
      <c r="G93" s="6">
        <f>SQRT((kaalutegur R_17*[1]!juhe(G5,6)+jaitetegur R_17*[1]!Jaitekoormus_EN(G$5,JaideJ,hj))^2+(tuuletegur R_17*[1]!Tuulekoormus_en(G$5,Qt,ht,zo,G$4,JaideJ,jaitetegur R_17))^2)</f>
        <v>0</v>
      </c>
      <c r="H93" s="6">
        <f>SQRT((kaalutegur R_17*[1]!juhe(H5,6)+jaitetegur R_17*[1]!Jaitekoormus_EN(H$5,JaideJ,hj))^2+(tuuletegur R_17*[1]!Tuulekoormus_en(H$5,Qt,ht,zo,H$4,JaideJ,jaitetegur R_17))^2)</f>
        <v>0</v>
      </c>
      <c r="I93" s="6">
        <f>SQRT((kaalutegur R_17*[1]!juhe(I5,6)+jaitetegur R_17*[1]!Jaitekoormus_EN(I$5,JaideJ,hj))^2+(tuuletegur R_17*[1]!Tuulekoormus_en(I$5,Qt,ht,zo,I$4,JaideJ,jaitetegur R_17))^2)</f>
        <v>0</v>
      </c>
      <c r="J93" s="6">
        <f>SQRT((kaalutegur R_17*[1]!juhe(J5,6)+jaitetegur R_17*[1]!Jaitekoormus_EN(J$5,JaideJ,hj))^2+(tuuletegur R_17*[1]!Tuulekoormus_en(J$5,Qt,ht,zo,J$4,JaideJ,jaitetegur R_17))^2)</f>
        <v>0</v>
      </c>
      <c r="K93" s="6">
        <f>SQRT((kaalutegur R_17*[1]!juhe(K5,6)+jaitetegur R_17*[1]!Jaitekoormus_EN(K$5,JaideJ,hj))^2+(tuuletegur R_17*[1]!Tuulekoormus_en(K$5,Qt,ht,zo,K$4,JaideJ,jaitetegur R_17))^2)</f>
        <v>0</v>
      </c>
      <c r="L93" s="6">
        <f>SQRT((kaalutegur R_17*[1]!juhe(L5,6)+jaitetegur R_17*[1]!Jaitekoormus_EN(L$5,JaideJ,hj))^2+(tuuletegur R_17*[1]!Tuulekoormus_en(L$5,Qt,ht,zo,L$4,JaideJ,jaitetegur R_17))^2)</f>
        <v>0</v>
      </c>
      <c r="M93" s="6">
        <f>SQRT((kaalutegur R_17*[1]!juhe(M5,6)+jaitetegur R_17*[1]!Jaitekoormus_EN(M$5,JaideJ,hj))^2+(tuuletegur R_17*[1]!Tuulekoormus_en(M$5,Qt,ht,zo,M$4,JaideJ,jaitetegur R_17))^2)</f>
        <v>0</v>
      </c>
      <c r="N93" s="6">
        <f>SQRT((kaalutegur R_17*[1]!juhe(N5,6)+jaitetegur R_17*[1]!Jaitekoormus_EN(N$5,JaideJ,hj))^2+(tuuletegur R_17*[1]!Tuulekoormus_en(N$5,Qt,ht,zo,N$4,JaideJ,jaitetegur R_17))^2)</f>
        <v>0</v>
      </c>
      <c r="O93" s="6">
        <f>SQRT((kaalutegur R_17*[1]!juhe(O5,6)+jaitetegur R_17*[1]!Jaitekoormus_EN(O$5,JaideJ,hj))^2+(tuuletegur R_17*[1]!Tuulekoormus_en(O$5,Qt,ht,zo,O$4,JaideJ,jaitetegur R_17))^2)</f>
        <v>0</v>
      </c>
      <c r="P93" s="6">
        <f>SQRT((kaalutegur R_17*[1]!juhe(P5,6)+jaitetegur R_17*[1]!Jaitekoormus_EN(P$5,JaideJ,hj))^2+(tuuletegur R_17*[1]!Tuulekoormus_en(P$5,Qt,ht,zo,P$4,JaideJ,jaitetegur R_17))^2)</f>
        <v>0</v>
      </c>
      <c r="Q93" s="6">
        <f>SQRT((kaalutegur R_17*[1]!juhe(Q5,6)+jaitetegur R_17*[1]!Jaitekoormus_EN(Q$5,JaideJ,hj))^2+(tuuletegur R_17*[1]!Tuulekoormus_en(Q$5,Qt,ht,zo,Q$4,JaideJ,jaitetegur R_17))^2)</f>
        <v>0</v>
      </c>
      <c r="R93" s="6">
        <f>SQRT((kaalutegur R_17*[1]!juhe(R5,6)+jaitetegur R_17*[1]!Jaitekoormus_EN(R$5,JaideJ,hj))^2+(tuuletegur R_17*[1]!Tuulekoormus_en(R$5,Qt,ht,zo,R$4,JaideJ,jaitetegur R_17))^2)</f>
        <v>0</v>
      </c>
      <c r="S93" s="6"/>
    </row>
    <row r="94" spans="2:19" x14ac:dyDescent="0.2">
      <c r="B94" s="173"/>
      <c r="C94" s="147" t="s">
        <v>104</v>
      </c>
      <c r="D94" s="3">
        <f>[1]!Olekuvorrand(D$4,D$5,D$8,5,D$11,Lähteandmed!$C72,D93)</f>
        <v>0</v>
      </c>
      <c r="E94" s="3">
        <f>[1]!Olekuvorrand(E$4,E$5,E$8,5,E$11,Lähteandmed!$C72,E93)</f>
        <v>0</v>
      </c>
      <c r="F94" s="3">
        <f>[1]!Olekuvorrand(F$4,F$5,F$8,5,F$11,Lähteandmed!$C72,F93)</f>
        <v>0</v>
      </c>
      <c r="G94" s="3">
        <f>[1]!Olekuvorrand(G$4,G$5,G$8,5,G$11,Lähteandmed!$C72,G93)</f>
        <v>0</v>
      </c>
      <c r="H94" s="3">
        <f>[1]!Olekuvorrand(H$4,H$5,H$8,5,H$11,Lähteandmed!$C72,H93)</f>
        <v>0</v>
      </c>
      <c r="I94" s="3">
        <f>[1]!Olekuvorrand(I$4,I$5,I$8,5,I$11,Lähteandmed!$C72,I93)</f>
        <v>0</v>
      </c>
      <c r="J94" s="3">
        <f>[1]!Olekuvorrand(J$4,J$5,J$8,5,J$11,Lähteandmed!$C72,J93)</f>
        <v>0</v>
      </c>
      <c r="K94" s="3">
        <f>[1]!Olekuvorrand(K$4,K$5,K$8,5,K$11,Lähteandmed!$C72,K93)</f>
        <v>0</v>
      </c>
      <c r="L94" s="3">
        <f>[1]!Olekuvorrand(L$4,L$5,L$8,5,L$11,Lähteandmed!$C72,L93)</f>
        <v>0</v>
      </c>
      <c r="M94" s="3">
        <f>[1]!Olekuvorrand(M$4,M$5,M$8,5,M$11,Lähteandmed!$C72,M93)</f>
        <v>0</v>
      </c>
      <c r="N94" s="3">
        <f>[1]!Olekuvorrand(N$4,N$5,N$8,5,N$11,Lähteandmed!$C72,N93)</f>
        <v>0</v>
      </c>
      <c r="O94" s="3">
        <f>[1]!Olekuvorrand(O$4,O$5,O$8,5,O$11,Lähteandmed!$C72,O93)</f>
        <v>0</v>
      </c>
      <c r="P94" s="3">
        <f>[1]!Olekuvorrand(P$4,P$5,P$8,5,P$11,Lähteandmed!$C72,P93)</f>
        <v>0</v>
      </c>
      <c r="Q94" s="3">
        <f>[1]!Olekuvorrand(Q$4,Q$5,Q$8,5,Q$11,Lähteandmed!$C72,Q93)</f>
        <v>0</v>
      </c>
      <c r="R94" s="3">
        <f>[1]!Olekuvorrand(R$4,R$5,R$8,5,R$11,Lähteandmed!$C72,R93)</f>
        <v>0</v>
      </c>
      <c r="S94" s="3"/>
    </row>
    <row r="95" spans="2:19" x14ac:dyDescent="0.2">
      <c r="B95" s="173"/>
      <c r="C95" s="147" t="s">
        <v>105</v>
      </c>
      <c r="D95" s="3">
        <f>[1]!ripe(D94,D$11+Lähteandmed!$E72*$D$13,D$4,0)</f>
        <v>0</v>
      </c>
      <c r="E95" s="3">
        <f>[1]!ripe(E94,E$11+Lähteandmed!$E72*$D$13,E$4,0)</f>
        <v>0</v>
      </c>
      <c r="F95" s="3">
        <f>[1]!ripe(F94,F$11+Lähteandmed!$E72*$D$13,F$4,0)</f>
        <v>0</v>
      </c>
      <c r="G95" s="3">
        <f>[1]!ripe(G94,G$11+Lähteandmed!$E72*$D$13,G$4,0)</f>
        <v>0</v>
      </c>
      <c r="H95" s="3">
        <f>[1]!ripe(H94,H$11+Lähteandmed!$E72*$D$13,H$4,0)</f>
        <v>0</v>
      </c>
      <c r="I95" s="3">
        <f>[1]!ripe(I94,I$11+Lähteandmed!$E72*$D$13,I$4,0)</f>
        <v>0</v>
      </c>
      <c r="J95" s="3">
        <f>[1]!ripe(J94,J$11+Lähteandmed!$E72*$D$13,J$4,0)</f>
        <v>0</v>
      </c>
      <c r="K95" s="3">
        <f>[1]!ripe(K94,K$11+Lähteandmed!$E72*$D$13,K$4,0)</f>
        <v>0</v>
      </c>
      <c r="L95" s="3">
        <f>[1]!ripe(L94,L$11+Lähteandmed!$E72*$D$13,L$4,0)</f>
        <v>0</v>
      </c>
      <c r="M95" s="3">
        <f>[1]!ripe(M94,M$11+Lähteandmed!$E72*$D$13,M$4,0)</f>
        <v>0</v>
      </c>
      <c r="N95" s="3">
        <f>[1]!ripe(N94,N$11+Lähteandmed!$E72*$D$13,N$4,0)</f>
        <v>0</v>
      </c>
      <c r="O95" s="3">
        <f>[1]!ripe(O94,O$11+Lähteandmed!$E72*$D$13,O$4,0)</f>
        <v>0</v>
      </c>
      <c r="P95" s="3">
        <f>[1]!ripe(P94,P$11+Lähteandmed!$E72*$D$13,P$4,0)</f>
        <v>0</v>
      </c>
      <c r="Q95" s="3">
        <f>[1]!ripe(Q94,Q$11+Lähteandmed!$E72*$D$13,Q$4,0)</f>
        <v>0</v>
      </c>
      <c r="R95" s="3">
        <f>[1]!ripe(R94,R$11+Lähteandmed!$E72*$D$13,R$4,0)</f>
        <v>0</v>
      </c>
      <c r="S95" s="3"/>
    </row>
    <row r="96" spans="2:19" x14ac:dyDescent="0.2">
      <c r="B96" s="173"/>
      <c r="C96" s="147" t="s">
        <v>49</v>
      </c>
      <c r="D96" s="50">
        <f t="shared" ref="D96:Q96" si="30">D95/D$4^2*1000000</f>
        <v>0</v>
      </c>
      <c r="E96" s="50">
        <f t="shared" si="30"/>
        <v>0</v>
      </c>
      <c r="F96" s="50">
        <f t="shared" si="30"/>
        <v>0</v>
      </c>
      <c r="G96" s="50">
        <f t="shared" si="30"/>
        <v>0</v>
      </c>
      <c r="H96" s="50">
        <f t="shared" si="30"/>
        <v>0</v>
      </c>
      <c r="I96" s="50">
        <f t="shared" si="30"/>
        <v>0</v>
      </c>
      <c r="J96" s="50">
        <f t="shared" si="30"/>
        <v>0</v>
      </c>
      <c r="K96" s="50">
        <f t="shared" si="30"/>
        <v>0</v>
      </c>
      <c r="L96" s="50">
        <f t="shared" si="30"/>
        <v>0</v>
      </c>
      <c r="M96" s="50">
        <f t="shared" si="30"/>
        <v>0</v>
      </c>
      <c r="N96" s="50">
        <f t="shared" si="30"/>
        <v>0</v>
      </c>
      <c r="O96" s="50">
        <f t="shared" si="30"/>
        <v>0</v>
      </c>
      <c r="P96" s="50">
        <f t="shared" si="30"/>
        <v>0</v>
      </c>
      <c r="Q96" s="50">
        <f t="shared" si="30"/>
        <v>0</v>
      </c>
      <c r="R96" s="50">
        <f>R95/R$4^2*1000000</f>
        <v>0</v>
      </c>
      <c r="S96" s="50"/>
    </row>
    <row r="97" spans="2:19" ht="38.25" x14ac:dyDescent="0.2">
      <c r="B97" s="174">
        <f>Lähteandmed!B75</f>
        <v>0</v>
      </c>
      <c r="C97" s="148" t="s">
        <v>222</v>
      </c>
      <c r="D97" s="9">
        <f>SQRT((kaalutegur R_18*[1]!juhe(D5,6)+jaitetegur R_18*[1]!Jaitekoormus_EN(D$5,JaideJ,hj))^2+(tuuletegur R_18*[1]!Tuulekoormus_en(D$5,Qt,ht,zo,D$4,JaideJ,jaitetegur R_18))^2)</f>
        <v>0</v>
      </c>
      <c r="E97" s="9">
        <f>SQRT((kaalutegur R_18*[1]!juhe(E5,6)+jaitetegur R_18*[1]!Jaitekoormus_EN(E$5,JaideJ,hj))^2+(tuuletegur R_18*[1]!Tuulekoormus_en(E$5,Qt,ht,zo,E$4,JaideJ,jaitetegur R_18))^2)</f>
        <v>0</v>
      </c>
      <c r="F97" s="9">
        <f>SQRT((kaalutegur R_18*[1]!juhe(F5,6)+jaitetegur R_18*[1]!Jaitekoormus_EN(F$5,JaideJ,hj))^2+(tuuletegur R_18*[1]!Tuulekoormus_en(F$5,Qt,ht,zo,F$4,JaideJ,jaitetegur R_18))^2)</f>
        <v>0</v>
      </c>
      <c r="G97" s="9">
        <f>SQRT((kaalutegur R_18*[1]!juhe(G5,6)+jaitetegur R_18*[1]!Jaitekoormus_EN(G$5,JaideJ,hj))^2+(tuuletegur R_18*[1]!Tuulekoormus_en(G$5,Qt,ht,zo,G$4,JaideJ,jaitetegur R_18))^2)</f>
        <v>0</v>
      </c>
      <c r="H97" s="9">
        <f>SQRT((kaalutegur R_18*[1]!juhe(H5,6)+jaitetegur R_18*[1]!Jaitekoormus_EN(H$5,JaideJ,hj))^2+(tuuletegur R_18*[1]!Tuulekoormus_en(H$5,Qt,ht,zo,H$4,JaideJ,jaitetegur R_18))^2)</f>
        <v>0</v>
      </c>
      <c r="I97" s="9">
        <f>SQRT((kaalutegur R_18*[1]!juhe(I5,6)+jaitetegur R_18*[1]!Jaitekoormus_EN(I$5,JaideJ,hj))^2+(tuuletegur R_18*[1]!Tuulekoormus_en(I$5,Qt,ht,zo,I$4,JaideJ,jaitetegur R_18))^2)</f>
        <v>0</v>
      </c>
      <c r="J97" s="9">
        <f>SQRT((kaalutegur R_18*[1]!juhe(J5,6)+jaitetegur R_18*[1]!Jaitekoormus_EN(J$5,JaideJ,hj))^2+(tuuletegur R_18*[1]!Tuulekoormus_en(J$5,Qt,ht,zo,J$4,JaideJ,jaitetegur R_18))^2)</f>
        <v>0</v>
      </c>
      <c r="K97" s="9">
        <f>SQRT((kaalutegur R_18*[1]!juhe(K5,6)+jaitetegur R_18*[1]!Jaitekoormus_EN(K$5,JaideJ,hj))^2+(tuuletegur R_18*[1]!Tuulekoormus_en(K$5,Qt,ht,zo,K$4,JaideJ,jaitetegur R_18))^2)</f>
        <v>0</v>
      </c>
      <c r="L97" s="9">
        <f>SQRT((kaalutegur R_18*[1]!juhe(L5,6)+jaitetegur R_18*[1]!Jaitekoormus_EN(L$5,JaideJ,hj))^2+(tuuletegur R_18*[1]!Tuulekoormus_en(L$5,Qt,ht,zo,L$4,JaideJ,jaitetegur R_18))^2)</f>
        <v>0</v>
      </c>
      <c r="M97" s="9">
        <f>SQRT((kaalutegur R_18*[1]!juhe(M5,6)+jaitetegur R_18*[1]!Jaitekoormus_EN(M$5,JaideJ,hj))^2+(tuuletegur R_18*[1]!Tuulekoormus_en(M$5,Qt,ht,zo,M$4,JaideJ,jaitetegur R_18))^2)</f>
        <v>0</v>
      </c>
      <c r="N97" s="9">
        <f>SQRT((kaalutegur R_18*[1]!juhe(N5,6)+jaitetegur R_18*[1]!Jaitekoormus_EN(N$5,JaideJ,hj))^2+(tuuletegur R_18*[1]!Tuulekoormus_en(N$5,Qt,ht,zo,N$4,JaideJ,jaitetegur R_18))^2)</f>
        <v>0</v>
      </c>
      <c r="O97" s="9">
        <f>SQRT((kaalutegur R_18*[1]!juhe(O5,6)+jaitetegur R_18*[1]!Jaitekoormus_EN(O$5,JaideJ,hj))^2+(tuuletegur R_18*[1]!Tuulekoormus_en(O$5,Qt,ht,zo,O$4,JaideJ,jaitetegur R_18))^2)</f>
        <v>0</v>
      </c>
      <c r="P97" s="9">
        <f>SQRT((kaalutegur R_18*[1]!juhe(P5,6)+jaitetegur R_18*[1]!Jaitekoormus_EN(P$5,JaideJ,hj))^2+(tuuletegur R_18*[1]!Tuulekoormus_en(P$5,Qt,ht,zo,P$4,JaideJ,jaitetegur R_18))^2)</f>
        <v>0</v>
      </c>
      <c r="Q97" s="9">
        <f>SQRT((kaalutegur R_18*[1]!juhe(Q5,6)+jaitetegur R_18*[1]!Jaitekoormus_EN(Q$5,JaideJ,hj))^2+(tuuletegur R_18*[1]!Tuulekoormus_en(Q$5,Qt,ht,zo,Q$4,JaideJ,jaitetegur R_18))^2)</f>
        <v>0</v>
      </c>
      <c r="R97" s="9">
        <f>SQRT((kaalutegur R_18*[1]!juhe(R5,6)+jaitetegur R_18*[1]!Jaitekoormus_EN(R$5,JaideJ,hj))^2+(tuuletegur R_18*[1]!Tuulekoormus_en(R$5,Qt,ht,zo,R$4,JaideJ,jaitetegur R_18))^2)</f>
        <v>0</v>
      </c>
      <c r="S97" s="9"/>
    </row>
    <row r="98" spans="2:19" x14ac:dyDescent="0.2">
      <c r="B98" s="174"/>
      <c r="C98" s="148" t="s">
        <v>104</v>
      </c>
      <c r="D98" s="22">
        <f>[1]!Olekuvorrand(D$4,D$5,D$8,5,D$11,Lähteandmed!$C75,D97)</f>
        <v>0</v>
      </c>
      <c r="E98" s="22">
        <f>[1]!Olekuvorrand(E$4,E$5,E$8,5,E$11,Lähteandmed!$C75,E97)</f>
        <v>0</v>
      </c>
      <c r="F98" s="22">
        <f>[1]!Olekuvorrand(F$4,F$5,F$8,5,F$11,Lähteandmed!$C75,F97)</f>
        <v>0</v>
      </c>
      <c r="G98" s="22">
        <f>[1]!Olekuvorrand(G$4,G$5,G$8,5,G$11,Lähteandmed!$C75,G97)</f>
        <v>0</v>
      </c>
      <c r="H98" s="22">
        <f>[1]!Olekuvorrand(H$4,H$5,H$8,5,H$11,Lähteandmed!$C75,H97)</f>
        <v>0</v>
      </c>
      <c r="I98" s="22">
        <f>[1]!Olekuvorrand(I$4,I$5,I$8,5,I$11,Lähteandmed!$C75,I97)</f>
        <v>0</v>
      </c>
      <c r="J98" s="22">
        <f>[1]!Olekuvorrand(J$4,J$5,J$8,5,J$11,Lähteandmed!$C75,J97)</f>
        <v>0</v>
      </c>
      <c r="K98" s="22">
        <f>[1]!Olekuvorrand(K$4,K$5,K$8,5,K$11,Lähteandmed!$C75,K97)</f>
        <v>0</v>
      </c>
      <c r="L98" s="22">
        <f>[1]!Olekuvorrand(L$4,L$5,L$8,5,L$11,Lähteandmed!$C75,L97)</f>
        <v>0</v>
      </c>
      <c r="M98" s="22">
        <f>[1]!Olekuvorrand(M$4,M$5,M$8,5,M$11,Lähteandmed!$C75,M97)</f>
        <v>0</v>
      </c>
      <c r="N98" s="22">
        <f>[1]!Olekuvorrand(N$4,N$5,N$8,5,N$11,Lähteandmed!$C75,N97)</f>
        <v>0</v>
      </c>
      <c r="O98" s="22">
        <f>[1]!Olekuvorrand(O$4,O$5,O$8,5,O$11,Lähteandmed!$C75,O97)</f>
        <v>0</v>
      </c>
      <c r="P98" s="22">
        <f>[1]!Olekuvorrand(P$4,P$5,P$8,5,P$11,Lähteandmed!$C75,P97)</f>
        <v>0</v>
      </c>
      <c r="Q98" s="22">
        <f>[1]!Olekuvorrand(Q$4,Q$5,Q$8,5,Q$11,Lähteandmed!$C75,Q97)</f>
        <v>0</v>
      </c>
      <c r="R98" s="22">
        <f>[1]!Olekuvorrand(R$4,R$5,R$8,5,R$11,Lähteandmed!$C75,R97)</f>
        <v>0</v>
      </c>
      <c r="S98" s="22"/>
    </row>
    <row r="99" spans="2:19" x14ac:dyDescent="0.2">
      <c r="B99" s="174"/>
      <c r="C99" s="148" t="s">
        <v>105</v>
      </c>
      <c r="D99" s="9">
        <f>[1]!ripe(D98,D$11+Lähteandmed!$E75*$D$13,D$4,0)</f>
        <v>0</v>
      </c>
      <c r="E99" s="9">
        <f>[1]!ripe(E98,E$11+Lähteandmed!$E75*$D$13,E$4,0)</f>
        <v>0</v>
      </c>
      <c r="F99" s="9">
        <f>[1]!ripe(F98,F$11+Lähteandmed!$E75*$D$13,F$4,0)</f>
        <v>0</v>
      </c>
      <c r="G99" s="9">
        <f>[1]!ripe(G98,G$11+Lähteandmed!$E75*$D$13,G$4,0)</f>
        <v>0</v>
      </c>
      <c r="H99" s="9">
        <f>[1]!ripe(H98,H$11+Lähteandmed!$E75*$D$13,H$4,0)</f>
        <v>0</v>
      </c>
      <c r="I99" s="9">
        <f>[1]!ripe(I98,I$11+Lähteandmed!$E75*$D$13,I$4,0)</f>
        <v>0</v>
      </c>
      <c r="J99" s="9">
        <f>[1]!ripe(J98,J$11+Lähteandmed!$E75*$D$13,J$4,0)</f>
        <v>0</v>
      </c>
      <c r="K99" s="9">
        <f>[1]!ripe(K98,K$11+Lähteandmed!$E75*$D$13,K$4,0)</f>
        <v>0</v>
      </c>
      <c r="L99" s="9">
        <f>[1]!ripe(L98,L$11+Lähteandmed!$E75*$D$13,L$4,0)</f>
        <v>0</v>
      </c>
      <c r="M99" s="9">
        <f>[1]!ripe(M98,M$11+Lähteandmed!$E75*$D$13,M$4,0)</f>
        <v>0</v>
      </c>
      <c r="N99" s="9">
        <f>[1]!ripe(N98,N$11+Lähteandmed!$E75*$D$13,N$4,0)</f>
        <v>0</v>
      </c>
      <c r="O99" s="9">
        <f>[1]!ripe(O98,O$11+Lähteandmed!$E75*$D$13,O$4,0)</f>
        <v>0</v>
      </c>
      <c r="P99" s="9">
        <f>[1]!ripe(P98,P$11+Lähteandmed!$E75*$D$13,P$4,0)</f>
        <v>0</v>
      </c>
      <c r="Q99" s="9">
        <f>[1]!ripe(Q98,Q$11+Lähteandmed!$E75*$D$13,Q$4,0)</f>
        <v>0</v>
      </c>
      <c r="R99" s="9">
        <f>[1]!ripe(R98,R$11+Lähteandmed!$E75*$D$13,R$4,0)</f>
        <v>0</v>
      </c>
      <c r="S99" s="9"/>
    </row>
    <row r="100" spans="2:19" x14ac:dyDescent="0.2">
      <c r="B100" s="174"/>
      <c r="C100" s="148" t="s">
        <v>49</v>
      </c>
      <c r="D100" s="51">
        <f t="shared" ref="D100:Q100" si="31">D99/D$4^2*1000000</f>
        <v>0</v>
      </c>
      <c r="E100" s="51">
        <f t="shared" si="31"/>
        <v>0</v>
      </c>
      <c r="F100" s="51">
        <f t="shared" si="31"/>
        <v>0</v>
      </c>
      <c r="G100" s="51">
        <f t="shared" si="31"/>
        <v>0</v>
      </c>
      <c r="H100" s="51">
        <f t="shared" si="31"/>
        <v>0</v>
      </c>
      <c r="I100" s="51">
        <f t="shared" si="31"/>
        <v>0</v>
      </c>
      <c r="J100" s="51">
        <f t="shared" si="31"/>
        <v>0</v>
      </c>
      <c r="K100" s="51">
        <f t="shared" si="31"/>
        <v>0</v>
      </c>
      <c r="L100" s="51">
        <f t="shared" si="31"/>
        <v>0</v>
      </c>
      <c r="M100" s="51">
        <f t="shared" si="31"/>
        <v>0</v>
      </c>
      <c r="N100" s="51">
        <f t="shared" si="31"/>
        <v>0</v>
      </c>
      <c r="O100" s="51">
        <f t="shared" si="31"/>
        <v>0</v>
      </c>
      <c r="P100" s="51">
        <f t="shared" si="31"/>
        <v>0</v>
      </c>
      <c r="Q100" s="51">
        <f t="shared" si="31"/>
        <v>0</v>
      </c>
      <c r="R100" s="51">
        <f>R99/R$4^2*1000000</f>
        <v>0</v>
      </c>
      <c r="S100" s="51"/>
    </row>
    <row r="101" spans="2:19" ht="38.25" x14ac:dyDescent="0.2">
      <c r="B101" s="173">
        <f>Lähteandmed!B78</f>
        <v>0</v>
      </c>
      <c r="C101" s="147" t="s">
        <v>222</v>
      </c>
      <c r="D101" s="6">
        <f>SQRT((kaalutegur R_19*[1]!juhe(D5,6)+jaitetegur R_19*[1]!Jaitekoormus_EN(D$5,JaideJ,hj))^2+(tuuletegur R_19*[1]!Tuulekoormus_en(D$5,Qt,ht,zo,D$4,JaideJ,jaitetegur R_19))^2)</f>
        <v>0</v>
      </c>
      <c r="E101" s="6">
        <f>SQRT((kaalutegur R_19*[1]!juhe(E5,6)+jaitetegur R_19*[1]!Jaitekoormus_EN(E$5,JaideJ,hj))^2+(tuuletegur R_19*[1]!Tuulekoormus_en(E$5,Qt,ht,zo,E$4,JaideJ,jaitetegur R_19))^2)</f>
        <v>0</v>
      </c>
      <c r="F101" s="6">
        <f>SQRT((kaalutegur R_19*[1]!juhe(F5,6)+jaitetegur R_19*[1]!Jaitekoormus_EN(F$5,JaideJ,hj))^2+(tuuletegur R_19*[1]!Tuulekoormus_en(F$5,Qt,ht,zo,F$4,JaideJ,jaitetegur R_19))^2)</f>
        <v>0</v>
      </c>
      <c r="G101" s="6">
        <f>SQRT((kaalutegur R_19*[1]!juhe(G5,6)+jaitetegur R_19*[1]!Jaitekoormus_EN(G$5,JaideJ,hj))^2+(tuuletegur R_19*[1]!Tuulekoormus_en(G$5,Qt,ht,zo,G$4,JaideJ,jaitetegur R_19))^2)</f>
        <v>0</v>
      </c>
      <c r="H101" s="6">
        <f>SQRT((kaalutegur R_19*[1]!juhe(H5,6)+jaitetegur R_19*[1]!Jaitekoormus_EN(H$5,JaideJ,hj))^2+(tuuletegur R_19*[1]!Tuulekoormus_en(H$5,Qt,ht,zo,H$4,JaideJ,jaitetegur R_19))^2)</f>
        <v>0</v>
      </c>
      <c r="I101" s="6">
        <f>SQRT((kaalutegur R_19*[1]!juhe(I5,6)+jaitetegur R_19*[1]!Jaitekoormus_EN(I$5,JaideJ,hj))^2+(tuuletegur R_19*[1]!Tuulekoormus_en(I$5,Qt,ht,zo,I$4,JaideJ,jaitetegur R_19))^2)</f>
        <v>0</v>
      </c>
      <c r="J101" s="6">
        <f>SQRT((kaalutegur R_19*[1]!juhe(J5,6)+jaitetegur R_19*[1]!Jaitekoormus_EN(J$5,JaideJ,hj))^2+(tuuletegur R_19*[1]!Tuulekoormus_en(J$5,Qt,ht,zo,J$4,JaideJ,jaitetegur R_19))^2)</f>
        <v>0</v>
      </c>
      <c r="K101" s="6">
        <f>SQRT((kaalutegur R_19*[1]!juhe(K5,6)+jaitetegur R_19*[1]!Jaitekoormus_EN(K$5,JaideJ,hj))^2+(tuuletegur R_19*[1]!Tuulekoormus_en(K$5,Qt,ht,zo,K$4,JaideJ,jaitetegur R_19))^2)</f>
        <v>0</v>
      </c>
      <c r="L101" s="6">
        <f>SQRT((kaalutegur R_19*[1]!juhe(L5,6)+jaitetegur R_19*[1]!Jaitekoormus_EN(L$5,JaideJ,hj))^2+(tuuletegur R_19*[1]!Tuulekoormus_en(L$5,Qt,ht,zo,L$4,JaideJ,jaitetegur R_19))^2)</f>
        <v>0</v>
      </c>
      <c r="M101" s="6">
        <f>SQRT((kaalutegur R_19*[1]!juhe(M5,6)+jaitetegur R_19*[1]!Jaitekoormus_EN(M$5,JaideJ,hj))^2+(tuuletegur R_19*[1]!Tuulekoormus_en(M$5,Qt,ht,zo,M$4,JaideJ,jaitetegur R_19))^2)</f>
        <v>0</v>
      </c>
      <c r="N101" s="6">
        <f>SQRT((kaalutegur R_19*[1]!juhe(N5,6)+jaitetegur R_19*[1]!Jaitekoormus_EN(N$5,JaideJ,hj))^2+(tuuletegur R_19*[1]!Tuulekoormus_en(N$5,Qt,ht,zo,N$4,JaideJ,jaitetegur R_19))^2)</f>
        <v>0</v>
      </c>
      <c r="O101" s="6">
        <f>SQRT((kaalutegur R_19*[1]!juhe(O5,6)+jaitetegur R_19*[1]!Jaitekoormus_EN(O$5,JaideJ,hj))^2+(tuuletegur R_19*[1]!Tuulekoormus_en(O$5,Qt,ht,zo,O$4,JaideJ,jaitetegur R_19))^2)</f>
        <v>0</v>
      </c>
      <c r="P101" s="6">
        <f>SQRT((kaalutegur R_19*[1]!juhe(P5,6)+jaitetegur R_19*[1]!Jaitekoormus_EN(P$5,JaideJ,hj))^2+(tuuletegur R_19*[1]!Tuulekoormus_en(P$5,Qt,ht,zo,P$4,JaideJ,jaitetegur R_19))^2)</f>
        <v>0</v>
      </c>
      <c r="Q101" s="6">
        <f>SQRT((kaalutegur R_19*[1]!juhe(Q5,6)+jaitetegur R_19*[1]!Jaitekoormus_EN(Q$5,JaideJ,hj))^2+(tuuletegur R_19*[1]!Tuulekoormus_en(Q$5,Qt,ht,zo,Q$4,JaideJ,jaitetegur R_19))^2)</f>
        <v>0</v>
      </c>
      <c r="R101" s="6">
        <f>SQRT((kaalutegur R_19*[1]!juhe(R5,6)+jaitetegur R_19*[1]!Jaitekoormus_EN(R$5,JaideJ,hj))^2+(tuuletegur R_19*[1]!Tuulekoormus_en(R$5,Qt,ht,zo,R$4,JaideJ,jaitetegur R_19))^2)</f>
        <v>0</v>
      </c>
      <c r="S101" s="6"/>
    </row>
    <row r="102" spans="2:19" x14ac:dyDescent="0.2">
      <c r="B102" s="173"/>
      <c r="C102" s="147" t="s">
        <v>104</v>
      </c>
      <c r="D102" s="3">
        <f>[1]!Olekuvorrand(D$4,D$5,D$8,5,D$11,Lähteandmed!$C78,D101)</f>
        <v>0</v>
      </c>
      <c r="E102" s="3">
        <f>[1]!Olekuvorrand(E$4,E$5,E$8,5,E$11,Lähteandmed!$C78,E101)</f>
        <v>0</v>
      </c>
      <c r="F102" s="3">
        <f>[1]!Olekuvorrand(F$4,F$5,F$8,5,F$11,Lähteandmed!$C78,F101)</f>
        <v>0</v>
      </c>
      <c r="G102" s="3">
        <f>[1]!Olekuvorrand(G$4,G$5,G$8,5,G$11,Lähteandmed!$C78,G101)</f>
        <v>0</v>
      </c>
      <c r="H102" s="3">
        <f>[1]!Olekuvorrand(H$4,H$5,H$8,5,H$11,Lähteandmed!$C78,H101)</f>
        <v>0</v>
      </c>
      <c r="I102" s="3">
        <f>[1]!Olekuvorrand(I$4,I$5,I$8,5,I$11,Lähteandmed!$C78,I101)</f>
        <v>0</v>
      </c>
      <c r="J102" s="3">
        <f>[1]!Olekuvorrand(J$4,J$5,J$8,5,J$11,Lähteandmed!$C78,J101)</f>
        <v>0</v>
      </c>
      <c r="K102" s="3">
        <f>[1]!Olekuvorrand(K$4,K$5,K$8,5,K$11,Lähteandmed!$C78,K101)</f>
        <v>0</v>
      </c>
      <c r="L102" s="3">
        <f>[1]!Olekuvorrand(L$4,L$5,L$8,5,L$11,Lähteandmed!$C78,L101)</f>
        <v>0</v>
      </c>
      <c r="M102" s="3">
        <f>[1]!Olekuvorrand(M$4,M$5,M$8,5,M$11,Lähteandmed!$C78,M101)</f>
        <v>0</v>
      </c>
      <c r="N102" s="3">
        <f>[1]!Olekuvorrand(N$4,N$5,N$8,5,N$11,Lähteandmed!$C78,N101)</f>
        <v>0</v>
      </c>
      <c r="O102" s="3">
        <f>[1]!Olekuvorrand(O$4,O$5,O$8,5,O$11,Lähteandmed!$C78,O101)</f>
        <v>0</v>
      </c>
      <c r="P102" s="3">
        <f>[1]!Olekuvorrand(P$4,P$5,P$8,5,P$11,Lähteandmed!$C78,P101)</f>
        <v>0</v>
      </c>
      <c r="Q102" s="3">
        <f>[1]!Olekuvorrand(Q$4,Q$5,Q$8,5,Q$11,Lähteandmed!$C78,Q101)</f>
        <v>0</v>
      </c>
      <c r="R102" s="3">
        <f>[1]!Olekuvorrand(R$4,R$5,R$8,5,R$11,Lähteandmed!$C78,R101)</f>
        <v>0</v>
      </c>
      <c r="S102" s="3"/>
    </row>
    <row r="103" spans="2:19" x14ac:dyDescent="0.2">
      <c r="B103" s="173"/>
      <c r="C103" s="147" t="s">
        <v>105</v>
      </c>
      <c r="D103" s="3">
        <f>[1]!ripe(D102,D$11+Lähteandmed!$E78*$D$13,D$4,0)</f>
        <v>0</v>
      </c>
      <c r="E103" s="3">
        <f>[1]!ripe(E102,E$11+Lähteandmed!$E78*$D$13,E$4,0)</f>
        <v>0</v>
      </c>
      <c r="F103" s="3">
        <f>[1]!ripe(F102,F$11+Lähteandmed!$E78*$D$13,F$4,0)</f>
        <v>0</v>
      </c>
      <c r="G103" s="3">
        <f>[1]!ripe(G102,G$11+Lähteandmed!$E78*$D$13,G$4,0)</f>
        <v>0</v>
      </c>
      <c r="H103" s="3">
        <f>[1]!ripe(H102,H$11+Lähteandmed!$E78*$D$13,H$4,0)</f>
        <v>0</v>
      </c>
      <c r="I103" s="3">
        <f>[1]!ripe(I102,I$11+Lähteandmed!$E78*$D$13,I$4,0)</f>
        <v>0</v>
      </c>
      <c r="J103" s="3">
        <f>[1]!ripe(J102,J$11+Lähteandmed!$E78*$D$13,J$4,0)</f>
        <v>0</v>
      </c>
      <c r="K103" s="3">
        <f>[1]!ripe(K102,K$11+Lähteandmed!$E78*$D$13,K$4,0)</f>
        <v>0</v>
      </c>
      <c r="L103" s="3">
        <f>[1]!ripe(L102,L$11+Lähteandmed!$E78*$D$13,L$4,0)</f>
        <v>0</v>
      </c>
      <c r="M103" s="3">
        <f>[1]!ripe(M102,M$11+Lähteandmed!$E78*$D$13,M$4,0)</f>
        <v>0</v>
      </c>
      <c r="N103" s="3">
        <f>[1]!ripe(N102,N$11+Lähteandmed!$E78*$D$13,N$4,0)</f>
        <v>0</v>
      </c>
      <c r="O103" s="3">
        <f>[1]!ripe(O102,O$11+Lähteandmed!$E78*$D$13,O$4,0)</f>
        <v>0</v>
      </c>
      <c r="P103" s="3">
        <f>[1]!ripe(P102,P$11+Lähteandmed!$E78*$D$13,P$4,0)</f>
        <v>0</v>
      </c>
      <c r="Q103" s="3">
        <f>[1]!ripe(Q102,Q$11+Lähteandmed!$E78*$D$13,Q$4,0)</f>
        <v>0</v>
      </c>
      <c r="R103" s="3">
        <f>[1]!ripe(R102,R$11+Lähteandmed!$E78*$D$13,R$4,0)</f>
        <v>0</v>
      </c>
      <c r="S103" s="3"/>
    </row>
    <row r="104" spans="2:19" x14ac:dyDescent="0.2">
      <c r="B104" s="173"/>
      <c r="C104" s="147" t="s">
        <v>49</v>
      </c>
      <c r="D104" s="50">
        <f t="shared" ref="D104:Q104" si="32">D103/D$4^2*1000000</f>
        <v>0</v>
      </c>
      <c r="E104" s="50">
        <f t="shared" si="32"/>
        <v>0</v>
      </c>
      <c r="F104" s="50">
        <f t="shared" si="32"/>
        <v>0</v>
      </c>
      <c r="G104" s="50">
        <f t="shared" si="32"/>
        <v>0</v>
      </c>
      <c r="H104" s="50">
        <f t="shared" si="32"/>
        <v>0</v>
      </c>
      <c r="I104" s="50">
        <f t="shared" si="32"/>
        <v>0</v>
      </c>
      <c r="J104" s="50">
        <f t="shared" si="32"/>
        <v>0</v>
      </c>
      <c r="K104" s="50">
        <f t="shared" si="32"/>
        <v>0</v>
      </c>
      <c r="L104" s="50">
        <f t="shared" si="32"/>
        <v>0</v>
      </c>
      <c r="M104" s="50">
        <f t="shared" si="32"/>
        <v>0</v>
      </c>
      <c r="N104" s="50">
        <f t="shared" si="32"/>
        <v>0</v>
      </c>
      <c r="O104" s="50">
        <f t="shared" si="32"/>
        <v>0</v>
      </c>
      <c r="P104" s="50">
        <f t="shared" si="32"/>
        <v>0</v>
      </c>
      <c r="Q104" s="50">
        <f t="shared" si="32"/>
        <v>0</v>
      </c>
      <c r="R104" s="50">
        <f>R103/R$4^2*1000000</f>
        <v>0</v>
      </c>
      <c r="S104" s="50"/>
    </row>
    <row r="105" spans="2:19" ht="38.25" x14ac:dyDescent="0.2">
      <c r="B105" s="174">
        <f>Lähteandmed!B81</f>
        <v>0</v>
      </c>
      <c r="C105" s="148" t="s">
        <v>222</v>
      </c>
      <c r="D105" s="9">
        <f>SQRT((kaalutegur R_20*[1]!juhe(D5,6)+jaitetegur R_20*[1]!Jaitekoormus_EN(D$5,JaideJ,hj))^2+(tuuletegur R_20*[1]!Tuulekoormus_en(D$5,Qt,ht,zo,D$4,JaideJ,jaitetegur R_20))^2)</f>
        <v>0</v>
      </c>
      <c r="E105" s="9">
        <f>SQRT((kaalutegur R_20*[1]!juhe(E5,6)+jaitetegur R_20*[1]!Jaitekoormus_EN(E$5,JaideJ,hj))^2+(tuuletegur R_20*[1]!Tuulekoormus_en(E$5,Qt,ht,zo,E$4,JaideJ,jaitetegur R_20))^2)</f>
        <v>0</v>
      </c>
      <c r="F105" s="9">
        <f>SQRT((kaalutegur R_20*[1]!juhe(F5,6)+jaitetegur R_20*[1]!Jaitekoormus_EN(F$5,JaideJ,hj))^2+(tuuletegur R_20*[1]!Tuulekoormus_en(F$5,Qt,ht,zo,F$4,JaideJ,jaitetegur R_20))^2)</f>
        <v>0</v>
      </c>
      <c r="G105" s="9">
        <f>SQRT((kaalutegur R_20*[1]!juhe(G5,6)+jaitetegur R_20*[1]!Jaitekoormus_EN(G$5,JaideJ,hj))^2+(tuuletegur R_20*[1]!Tuulekoormus_en(G$5,Qt,ht,zo,G$4,JaideJ,jaitetegur R_20))^2)</f>
        <v>0</v>
      </c>
      <c r="H105" s="9">
        <f>SQRT((kaalutegur R_20*[1]!juhe(H5,6)+jaitetegur R_20*[1]!Jaitekoormus_EN(H$5,JaideJ,hj))^2+(tuuletegur R_20*[1]!Tuulekoormus_en(H$5,Qt,ht,zo,H$4,JaideJ,jaitetegur R_20))^2)</f>
        <v>0</v>
      </c>
      <c r="I105" s="9">
        <f>SQRT((kaalutegur R_20*[1]!juhe(I5,6)+jaitetegur R_20*[1]!Jaitekoormus_EN(I$5,JaideJ,hj))^2+(tuuletegur R_20*[1]!Tuulekoormus_en(I$5,Qt,ht,zo,I$4,JaideJ,jaitetegur R_20))^2)</f>
        <v>0</v>
      </c>
      <c r="J105" s="9">
        <f>SQRT((kaalutegur R_20*[1]!juhe(J5,6)+jaitetegur R_20*[1]!Jaitekoormus_EN(J$5,JaideJ,hj))^2+(tuuletegur R_20*[1]!Tuulekoormus_en(J$5,Qt,ht,zo,J$4,JaideJ,jaitetegur R_20))^2)</f>
        <v>0</v>
      </c>
      <c r="K105" s="9">
        <f>SQRT((kaalutegur R_20*[1]!juhe(K5,6)+jaitetegur R_20*[1]!Jaitekoormus_EN(K$5,JaideJ,hj))^2+(tuuletegur R_20*[1]!Tuulekoormus_en(K$5,Qt,ht,zo,K$4,JaideJ,jaitetegur R_20))^2)</f>
        <v>0</v>
      </c>
      <c r="L105" s="9">
        <f>SQRT((kaalutegur R_20*[1]!juhe(L5,6)+jaitetegur R_20*[1]!Jaitekoormus_EN(L$5,JaideJ,hj))^2+(tuuletegur R_20*[1]!Tuulekoormus_en(L$5,Qt,ht,zo,L$4,JaideJ,jaitetegur R_20))^2)</f>
        <v>0</v>
      </c>
      <c r="M105" s="9">
        <f>SQRT((kaalutegur R_20*[1]!juhe(M5,6)+jaitetegur R_20*[1]!Jaitekoormus_EN(M$5,JaideJ,hj))^2+(tuuletegur R_20*[1]!Tuulekoormus_en(M$5,Qt,ht,zo,M$4,JaideJ,jaitetegur R_20))^2)</f>
        <v>0</v>
      </c>
      <c r="N105" s="9">
        <f>SQRT((kaalutegur R_20*[1]!juhe(N5,6)+jaitetegur R_20*[1]!Jaitekoormus_EN(N$5,JaideJ,hj))^2+(tuuletegur R_20*[1]!Tuulekoormus_en(N$5,Qt,ht,zo,N$4,JaideJ,jaitetegur R_20))^2)</f>
        <v>0</v>
      </c>
      <c r="O105" s="9">
        <f>SQRT((kaalutegur R_20*[1]!juhe(O5,6)+jaitetegur R_20*[1]!Jaitekoormus_EN(O$5,JaideJ,hj))^2+(tuuletegur R_20*[1]!Tuulekoormus_en(O$5,Qt,ht,zo,O$4,JaideJ,jaitetegur R_20))^2)</f>
        <v>0</v>
      </c>
      <c r="P105" s="9">
        <f>SQRT((kaalutegur R_20*[1]!juhe(P5,6)+jaitetegur R_20*[1]!Jaitekoormus_EN(P$5,JaideJ,hj))^2+(tuuletegur R_20*[1]!Tuulekoormus_en(P$5,Qt,ht,zo,P$4,JaideJ,jaitetegur R_20))^2)</f>
        <v>0</v>
      </c>
      <c r="Q105" s="9">
        <f>SQRT((kaalutegur R_20*[1]!juhe(Q5,6)+jaitetegur R_20*[1]!Jaitekoormus_EN(Q$5,JaideJ,hj))^2+(tuuletegur R_20*[1]!Tuulekoormus_en(Q$5,Qt,ht,zo,Q$4,JaideJ,jaitetegur R_20))^2)</f>
        <v>0</v>
      </c>
      <c r="R105" s="9">
        <f>SQRT((kaalutegur R_20*[1]!juhe(R5,6)+jaitetegur R_20*[1]!Jaitekoormus_EN(R$5,JaideJ,hj))^2+(tuuletegur R_20*[1]!Tuulekoormus_en(R$5,Qt,ht,zo,R$4,JaideJ,jaitetegur R_20))^2)</f>
        <v>0</v>
      </c>
      <c r="S105" s="9"/>
    </row>
    <row r="106" spans="2:19" x14ac:dyDescent="0.2">
      <c r="B106" s="174"/>
      <c r="C106" s="148" t="s">
        <v>104</v>
      </c>
      <c r="D106" s="22">
        <f>[1]!Olekuvorrand(D$4,D$5,D$8,5,D$11,Lähteandmed!$C81,D105)</f>
        <v>0</v>
      </c>
      <c r="E106" s="22">
        <f>[1]!Olekuvorrand(E$4,E$5,E$8,5,E$11,Lähteandmed!$C81,E105)</f>
        <v>0</v>
      </c>
      <c r="F106" s="22">
        <f>[1]!Olekuvorrand(F$4,F$5,F$8,5,F$11,Lähteandmed!$C81,F105)</f>
        <v>0</v>
      </c>
      <c r="G106" s="22">
        <f>[1]!Olekuvorrand(G$4,G$5,G$8,5,G$11,Lähteandmed!$C81,G105)</f>
        <v>0</v>
      </c>
      <c r="H106" s="22">
        <f>[1]!Olekuvorrand(H$4,H$5,H$8,5,H$11,Lähteandmed!$C81,H105)</f>
        <v>0</v>
      </c>
      <c r="I106" s="22">
        <f>[1]!Olekuvorrand(I$4,I$5,I$8,5,I$11,Lähteandmed!$C81,I105)</f>
        <v>0</v>
      </c>
      <c r="J106" s="22">
        <f>[1]!Olekuvorrand(J$4,J$5,J$8,5,J$11,Lähteandmed!$C81,J105)</f>
        <v>0</v>
      </c>
      <c r="K106" s="22">
        <f>[1]!Olekuvorrand(K$4,K$5,K$8,5,K$11,Lähteandmed!$C81,K105)</f>
        <v>0</v>
      </c>
      <c r="L106" s="22">
        <f>[1]!Olekuvorrand(L$4,L$5,L$8,5,L$11,Lähteandmed!$C81,L105)</f>
        <v>0</v>
      </c>
      <c r="M106" s="22">
        <f>[1]!Olekuvorrand(M$4,M$5,M$8,5,M$11,Lähteandmed!$C81,M105)</f>
        <v>0</v>
      </c>
      <c r="N106" s="22">
        <f>[1]!Olekuvorrand(N$4,N$5,N$8,5,N$11,Lähteandmed!$C81,N105)</f>
        <v>0</v>
      </c>
      <c r="O106" s="22">
        <f>[1]!Olekuvorrand(O$4,O$5,O$8,5,O$11,Lähteandmed!$C81,O105)</f>
        <v>0</v>
      </c>
      <c r="P106" s="22">
        <f>[1]!Olekuvorrand(P$4,P$5,P$8,5,P$11,Lähteandmed!$C81,P105)</f>
        <v>0</v>
      </c>
      <c r="Q106" s="22">
        <f>[1]!Olekuvorrand(Q$4,Q$5,Q$8,5,Q$11,Lähteandmed!$C81,Q105)</f>
        <v>0</v>
      </c>
      <c r="R106" s="22">
        <f>[1]!Olekuvorrand(R$4,R$5,R$8,5,R$11,Lähteandmed!$C81,R105)</f>
        <v>0</v>
      </c>
      <c r="S106" s="22"/>
    </row>
    <row r="107" spans="2:19" x14ac:dyDescent="0.2">
      <c r="B107" s="174"/>
      <c r="C107" s="148" t="s">
        <v>105</v>
      </c>
      <c r="D107" s="9">
        <f>[1]!ripe(D106,D$11+Lähteandmed!$E81*$D$13,D$4,0)</f>
        <v>0</v>
      </c>
      <c r="E107" s="9">
        <f>[1]!ripe(E106,E$11+Lähteandmed!$E81*$D$13,E$4,0)</f>
        <v>0</v>
      </c>
      <c r="F107" s="9">
        <f>[1]!ripe(F106,F$11+Lähteandmed!$E81*$D$13,F$4,0)</f>
        <v>0</v>
      </c>
      <c r="G107" s="9">
        <f>[1]!ripe(G106,G$11+Lähteandmed!$E81*$D$13,G$4,0)</f>
        <v>0</v>
      </c>
      <c r="H107" s="9">
        <f>[1]!ripe(H106,H$11+Lähteandmed!$E81*$D$13,H$4,0)</f>
        <v>0</v>
      </c>
      <c r="I107" s="9">
        <f>[1]!ripe(I106,I$11+Lähteandmed!$E81*$D$13,I$4,0)</f>
        <v>0</v>
      </c>
      <c r="J107" s="9">
        <f>[1]!ripe(J106,J$11+Lähteandmed!$E81*$D$13,J$4,0)</f>
        <v>0</v>
      </c>
      <c r="K107" s="9">
        <f>[1]!ripe(K106,K$11+Lähteandmed!$E81*$D$13,K$4,0)</f>
        <v>0</v>
      </c>
      <c r="L107" s="9">
        <f>[1]!ripe(L106,L$11+Lähteandmed!$E81*$D$13,L$4,0)</f>
        <v>0</v>
      </c>
      <c r="M107" s="9">
        <f>[1]!ripe(M106,M$11+Lähteandmed!$E81*$D$13,M$4,0)</f>
        <v>0</v>
      </c>
      <c r="N107" s="9">
        <f>[1]!ripe(N106,N$11+Lähteandmed!$E81*$D$13,N$4,0)</f>
        <v>0</v>
      </c>
      <c r="O107" s="9">
        <f>[1]!ripe(O106,O$11+Lähteandmed!$E81*$D$13,O$4,0)</f>
        <v>0</v>
      </c>
      <c r="P107" s="9">
        <f>[1]!ripe(P106,P$11+Lähteandmed!$E81*$D$13,P$4,0)</f>
        <v>0</v>
      </c>
      <c r="Q107" s="9">
        <f>[1]!ripe(Q106,Q$11+Lähteandmed!$E81*$D$13,Q$4,0)</f>
        <v>0</v>
      </c>
      <c r="R107" s="9">
        <f>[1]!ripe(R106,R$11+Lähteandmed!$E81*$D$13,R$4,0)</f>
        <v>0</v>
      </c>
      <c r="S107" s="9"/>
    </row>
    <row r="108" spans="2:19" x14ac:dyDescent="0.2">
      <c r="B108" s="174"/>
      <c r="C108" s="148" t="s">
        <v>49</v>
      </c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</row>
  </sheetData>
  <mergeCells count="20"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B69:B72"/>
    <mergeCell ref="B73:B76"/>
    <mergeCell ref="B77:B80"/>
    <mergeCell ref="B81:B84"/>
    <mergeCell ref="B85:B88"/>
    <mergeCell ref="B101:B104"/>
    <mergeCell ref="B105:B108"/>
    <mergeCell ref="B89:B92"/>
    <mergeCell ref="B93:B96"/>
    <mergeCell ref="B97:B100"/>
  </mergeCells>
  <conditionalFormatting sqref="D21:IF21">
    <cfRule type="cellIs" dxfId="2" priority="3" stopIfTrue="1" operator="greaterThan">
      <formula>SMaxT</formula>
    </cfRule>
  </conditionalFormatting>
  <conditionalFormatting sqref="D20:S20 D25:S27">
    <cfRule type="cellIs" dxfId="1" priority="2" stopIfTrue="1" operator="greaterThan">
      <formula>SMax</formula>
    </cfRule>
  </conditionalFormatting>
  <conditionalFormatting sqref="D20:S20">
    <cfRule type="cellIs" dxfId="0" priority="7" stopIfTrue="1" operator="greaterThan">
      <formula>#REF!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C148"/>
  <sheetViews>
    <sheetView view="pageBreakPreview" zoomScale="130" zoomScaleNormal="85" zoomScaleSheetLayoutView="130" workbookViewId="0">
      <selection activeCell="H143" sqref="H143"/>
    </sheetView>
  </sheetViews>
  <sheetFormatPr defaultRowHeight="12.75" x14ac:dyDescent="0.2"/>
  <cols>
    <col min="1" max="1" width="3.85546875" customWidth="1"/>
    <col min="2" max="2" width="10.7109375" style="86" customWidth="1"/>
    <col min="3" max="3" width="7.5703125" customWidth="1"/>
    <col min="4" max="4" width="8.42578125" customWidth="1"/>
    <col min="5" max="14" width="5.7109375" customWidth="1"/>
    <col min="15" max="15" width="12" style="86" customWidth="1"/>
    <col min="16" max="16" width="7" customWidth="1"/>
    <col min="17" max="17" width="7" style="139" customWidth="1"/>
    <col min="18" max="18" width="11.42578125" style="103" customWidth="1"/>
    <col min="19" max="19" width="9.140625" style="101" customWidth="1"/>
    <col min="20" max="20" width="17.5703125" style="101" customWidth="1"/>
    <col min="21" max="22" width="10.42578125" style="101" customWidth="1"/>
    <col min="23" max="23" width="10.5703125" style="101" customWidth="1"/>
    <col min="24" max="25" width="10.42578125" style="101" customWidth="1"/>
    <col min="26" max="26" width="12.140625" style="99" customWidth="1"/>
    <col min="27" max="27" width="10.42578125" customWidth="1"/>
  </cols>
  <sheetData>
    <row r="1" spans="1:29" ht="32.25" customHeight="1" x14ac:dyDescent="0.2">
      <c r="A1" s="166"/>
      <c r="B1" s="191"/>
      <c r="C1" s="192"/>
      <c r="D1" s="170" t="str">
        <f>Köide</f>
        <v>330/110kV Tartu-Sindi õhuliini ehitus
II ehitusetapp, Puhja - Viljandi</v>
      </c>
      <c r="E1" s="170"/>
      <c r="F1" s="170"/>
      <c r="G1" s="170"/>
      <c r="H1" s="170"/>
      <c r="I1" s="170"/>
      <c r="J1" s="170"/>
      <c r="K1" s="170"/>
      <c r="L1" s="170"/>
      <c r="M1" s="193" t="s">
        <v>231</v>
      </c>
      <c r="N1" s="193"/>
      <c r="O1" s="194"/>
      <c r="R1" s="130" t="s">
        <v>200</v>
      </c>
      <c r="S1" s="131" t="s">
        <v>234</v>
      </c>
      <c r="T1" s="132"/>
      <c r="U1" s="132"/>
      <c r="V1" s="132"/>
      <c r="W1" s="132"/>
      <c r="X1" s="132"/>
      <c r="Y1" s="132"/>
      <c r="Z1" s="131"/>
    </row>
    <row r="2" spans="1:29" ht="27" customHeight="1" thickBot="1" x14ac:dyDescent="0.25">
      <c r="A2" s="168"/>
      <c r="B2" s="169"/>
      <c r="C2" s="195"/>
      <c r="D2" s="171" t="s">
        <v>102</v>
      </c>
      <c r="E2" s="171"/>
      <c r="F2" s="171"/>
      <c r="G2" s="171"/>
      <c r="H2" s="171"/>
      <c r="I2" s="171"/>
      <c r="J2" s="171"/>
      <c r="K2" s="171"/>
      <c r="L2" s="171"/>
      <c r="M2" s="196"/>
      <c r="N2" s="196"/>
      <c r="O2" s="197"/>
      <c r="R2" s="130"/>
      <c r="S2" s="132"/>
      <c r="T2" s="132"/>
      <c r="U2" s="132"/>
      <c r="V2" s="211" t="s">
        <v>77</v>
      </c>
      <c r="W2" s="211"/>
      <c r="X2" s="211"/>
      <c r="Y2" s="211"/>
      <c r="Z2" s="131"/>
    </row>
    <row r="3" spans="1:29" ht="45" customHeight="1" x14ac:dyDescent="0.2">
      <c r="A3" s="34" t="s">
        <v>33</v>
      </c>
      <c r="B3" s="87" t="s">
        <v>126</v>
      </c>
      <c r="C3" s="34" t="s">
        <v>129</v>
      </c>
      <c r="D3" s="198" t="s">
        <v>37</v>
      </c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62" t="s">
        <v>34</v>
      </c>
      <c r="Q3" s="220" t="s">
        <v>235</v>
      </c>
      <c r="R3" s="104" t="s">
        <v>76</v>
      </c>
      <c r="S3" s="133" t="s">
        <v>128</v>
      </c>
      <c r="T3" s="102" t="s">
        <v>54</v>
      </c>
      <c r="U3" s="132" t="s">
        <v>27</v>
      </c>
      <c r="V3" s="102" t="s">
        <v>10</v>
      </c>
      <c r="W3" s="102" t="s">
        <v>21</v>
      </c>
      <c r="X3" s="102" t="s">
        <v>127</v>
      </c>
      <c r="Y3" s="102" t="s">
        <v>22</v>
      </c>
      <c r="Z3" s="100" t="s">
        <v>81</v>
      </c>
    </row>
    <row r="4" spans="1:29" x14ac:dyDescent="0.2">
      <c r="A4" s="63"/>
      <c r="B4" s="64" t="s">
        <v>7</v>
      </c>
      <c r="C4" s="65" t="s">
        <v>8</v>
      </c>
      <c r="D4" s="66"/>
      <c r="E4" s="67">
        <v>-20</v>
      </c>
      <c r="F4" s="67">
        <v>-15</v>
      </c>
      <c r="G4" s="67">
        <v>-10</v>
      </c>
      <c r="H4" s="67">
        <v>-5</v>
      </c>
      <c r="I4" s="67">
        <v>0</v>
      </c>
      <c r="J4" s="67">
        <v>5</v>
      </c>
      <c r="K4" s="67">
        <v>10</v>
      </c>
      <c r="L4" s="67">
        <v>15</v>
      </c>
      <c r="M4" s="67">
        <v>20</v>
      </c>
      <c r="N4" s="67">
        <v>25</v>
      </c>
      <c r="O4" s="116" t="s">
        <v>36</v>
      </c>
      <c r="R4" s="130">
        <v>3</v>
      </c>
      <c r="S4" s="132">
        <v>4</v>
      </c>
      <c r="T4" s="132">
        <v>5</v>
      </c>
      <c r="U4" s="132">
        <v>6</v>
      </c>
      <c r="V4" s="132">
        <v>14</v>
      </c>
      <c r="W4" s="132">
        <v>15</v>
      </c>
      <c r="X4" s="132">
        <v>16</v>
      </c>
      <c r="Y4" s="132">
        <v>17</v>
      </c>
      <c r="Z4" s="131"/>
    </row>
    <row r="5" spans="1:29" ht="17.25" customHeight="1" x14ac:dyDescent="0.2">
      <c r="A5" s="201" t="str">
        <f ca="1">CONCATENATE( "Faasijuhe ",Z7,"x(",T7,")")</f>
        <v>Faasijuhe 2x(242-Al1/39-ST1A Hawk)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3"/>
      <c r="R5" s="130"/>
      <c r="S5" s="132"/>
      <c r="T5" s="132"/>
      <c r="U5" s="132"/>
      <c r="V5" s="132"/>
      <c r="W5" s="132"/>
      <c r="X5" s="132"/>
      <c r="Y5" s="132"/>
      <c r="Z5" s="131"/>
    </row>
    <row r="6" spans="1:29" s="114" customFormat="1" ht="12.75" hidden="1" customHeight="1" x14ac:dyDescent="0.2">
      <c r="A6" s="187">
        <v>1</v>
      </c>
      <c r="B6" s="188" t="str">
        <f ca="1">R7</f>
        <v>103Y- 109Y</v>
      </c>
      <c r="C6" s="189">
        <f ca="1">S7</f>
        <v>447.20458836298803</v>
      </c>
      <c r="D6" s="118" t="s">
        <v>130</v>
      </c>
      <c r="E6" s="119">
        <f ca="1">[1]!Olekuvorrand($C6,$T7,$Y7,$X7,$W7,E$4,[1]!juhe($T7,6),TRUE)</f>
        <v>74.853122234344482</v>
      </c>
      <c r="F6" s="119">
        <f ca="1">[1]!Olekuvorrand($C6,$T7,$Y7,$X7,$W7,F$4,[1]!juhe($T7,6),TRUE)</f>
        <v>73.362529277801514</v>
      </c>
      <c r="G6" s="119">
        <f ca="1">[1]!Olekuvorrand($C6,$T7,$Y7,$X7,$W7,G$4,[1]!juhe($T7,6),TRUE)</f>
        <v>71.936666965484619</v>
      </c>
      <c r="H6" s="119">
        <f ca="1">[1]!Olekuvorrand($C6,$T7,$Y7,$X7,$W7,H$4,[1]!juhe($T7,6),TRUE)</f>
        <v>70.572078227996826</v>
      </c>
      <c r="I6" s="119">
        <f ca="1">[1]!Olekuvorrand($C6,$T7,$Y7,$X7,$W7,I$4,[1]!juhe($T7,6),TRUE)</f>
        <v>69.265544414520264</v>
      </c>
      <c r="J6" s="119">
        <f ca="1">[1]!Olekuvorrand($C6,$T7,$Y7,$X7,$W7,J$4,[1]!juhe($T7,6),TRUE)</f>
        <v>68.013846874237061</v>
      </c>
      <c r="K6" s="119">
        <f ca="1">[1]!Olekuvorrand($C6,$T7,$Y7,$X7,$W7,K$4,[1]!juhe($T7,6),TRUE)</f>
        <v>66.814243793487549</v>
      </c>
      <c r="L6" s="119">
        <f ca="1">[1]!Olekuvorrand($C6,$T7,$Y7,$X7,$W7,L$4,[1]!juhe($T7,6),TRUE)</f>
        <v>65.66387414932251</v>
      </c>
      <c r="M6" s="119">
        <f ca="1">[1]!Olekuvorrand($C6,$T7,$Y7,$X7,$W7,M$4,[1]!juhe($T7,6),TRUE)</f>
        <v>64.559876918792725</v>
      </c>
      <c r="N6" s="119">
        <f ca="1">[1]!Olekuvorrand($C6,$T7,$Y7,$X7,$W7,N$4,[1]!juhe($T7,6),TRUE)</f>
        <v>63.500106334686279</v>
      </c>
      <c r="O6" s="190">
        <f ca="1">U7</f>
        <v>65</v>
      </c>
      <c r="P6" s="221"/>
      <c r="Q6" s="142"/>
      <c r="R6" s="128"/>
    </row>
    <row r="7" spans="1:29" s="114" customFormat="1" x14ac:dyDescent="0.2">
      <c r="A7" s="187"/>
      <c r="B7" s="188"/>
      <c r="C7" s="189"/>
      <c r="D7" s="118" t="s">
        <v>32</v>
      </c>
      <c r="E7" s="119">
        <f ca="1">E6*[1]!juhe($T7,2)/10</f>
        <v>2102.17508482933</v>
      </c>
      <c r="F7" s="119">
        <f ca="1">F6*[1]!juhe($T7,2)/10</f>
        <v>2060.3132722377773</v>
      </c>
      <c r="G7" s="119">
        <f ca="1">G6*[1]!juhe($T7,2)/10</f>
        <v>2020.26935505867</v>
      </c>
      <c r="H7" s="119">
        <f ca="1">H6*[1]!juhe($T7,2)/10</f>
        <v>1981.9462449550629</v>
      </c>
      <c r="I7" s="119">
        <f ca="1">I6*[1]!juhe($T7,2)/10</f>
        <v>1945.2535493373871</v>
      </c>
      <c r="J7" s="119">
        <f ca="1">J6*[1]!juhe($T7,2)/10</f>
        <v>1910.1008756160736</v>
      </c>
      <c r="K7" s="119">
        <f ca="1">K6*[1]!juhe($T7,2)/10</f>
        <v>1876.4112226963043</v>
      </c>
      <c r="L7" s="119">
        <f ca="1">L6*[1]!juhe($T7,2)/10</f>
        <v>1844.1042416095734</v>
      </c>
      <c r="M7" s="119">
        <f ca="1">M6*[1]!juhe($T7,2)/10</f>
        <v>1813.0995833873749</v>
      </c>
      <c r="N7" s="119">
        <f ca="1">N6*[1]!juhe($T7,2)/10</f>
        <v>1783.3369863033295</v>
      </c>
      <c r="O7" s="190"/>
      <c r="P7" s="221"/>
      <c r="Q7" s="141" t="s">
        <v>197</v>
      </c>
      <c r="R7" s="129" t="str">
        <f ca="1">INDIRECT("'"&amp;$S$1&amp;"'!"&amp;$Q7&amp;R$4)</f>
        <v>103Y- 109Y</v>
      </c>
      <c r="S7" s="129">
        <f ca="1">INDIRECT("'"&amp;$S$1&amp;"'!"&amp;$Q7&amp;S$4)</f>
        <v>447.20458836298803</v>
      </c>
      <c r="T7" s="129" t="str">
        <f ca="1">INDIRECT("'"&amp;$S$1&amp;"'!"&amp;$Q7&amp;T$4)</f>
        <v>242-Al1/39-ST1A Hawk</v>
      </c>
      <c r="U7" s="129">
        <f ca="1">INDIRECT("'"&amp;$S$1&amp;"'!"&amp;$Q7&amp;U$4)</f>
        <v>65</v>
      </c>
      <c r="V7" s="129">
        <f ca="1">INDIRECT("'"&amp;$S$1&amp;"'!"&amp;$Q7&amp;V$4)</f>
        <v>5</v>
      </c>
      <c r="W7" s="129">
        <f ca="1">INDIRECT("'"&amp;$S$1&amp;"'!"&amp;$Q7&amp;W$4)</f>
        <v>8.1202200856781828E-2</v>
      </c>
      <c r="X7" s="129">
        <f ca="1">INDIRECT("'"&amp;$S$1&amp;"'!"&amp;$Q7&amp;X$4)</f>
        <v>-5</v>
      </c>
      <c r="Y7" s="129">
        <f ca="1">INDIRECT("'"&amp;$S$1&amp;"'!"&amp;$Q7&amp;Y$4)</f>
        <v>135.29866933822632</v>
      </c>
      <c r="Z7" s="129">
        <v>2</v>
      </c>
    </row>
    <row r="8" spans="1:29" s="114" customFormat="1" x14ac:dyDescent="0.2">
      <c r="A8" s="187"/>
      <c r="B8" s="188"/>
      <c r="C8" s="189"/>
      <c r="D8" s="118" t="str">
        <f>CONCATENATE(Z7,"T, [daN]")</f>
        <v>2T, [daN]</v>
      </c>
      <c r="E8" s="119">
        <f ca="1">E7*$Z7</f>
        <v>4204.35016965866</v>
      </c>
      <c r="F8" s="119">
        <f t="shared" ref="F8:N8" ca="1" si="0">F7*$Z7</f>
        <v>4120.6265444755545</v>
      </c>
      <c r="G8" s="119">
        <f t="shared" ca="1" si="0"/>
        <v>4040.5387101173401</v>
      </c>
      <c r="H8" s="119">
        <f t="shared" ca="1" si="0"/>
        <v>3963.8924899101257</v>
      </c>
      <c r="I8" s="119">
        <f t="shared" ca="1" si="0"/>
        <v>3890.5070986747742</v>
      </c>
      <c r="J8" s="119">
        <f t="shared" ca="1" si="0"/>
        <v>3820.2017512321472</v>
      </c>
      <c r="K8" s="119">
        <f t="shared" ca="1" si="0"/>
        <v>3752.8224453926086</v>
      </c>
      <c r="L8" s="119">
        <f t="shared" ca="1" si="0"/>
        <v>3688.2084832191467</v>
      </c>
      <c r="M8" s="119">
        <f t="shared" ca="1" si="0"/>
        <v>3626.1991667747498</v>
      </c>
      <c r="N8" s="119">
        <f t="shared" ca="1" si="0"/>
        <v>3566.6739726066589</v>
      </c>
      <c r="O8" s="190"/>
      <c r="P8" s="221"/>
      <c r="Q8" s="141" t="s">
        <v>197</v>
      </c>
      <c r="R8"/>
      <c r="S8"/>
      <c r="T8"/>
      <c r="U8"/>
      <c r="V8"/>
      <c r="W8"/>
      <c r="X8"/>
      <c r="Y8"/>
      <c r="Z8"/>
    </row>
    <row r="9" spans="1:29" s="114" customFormat="1" x14ac:dyDescent="0.2">
      <c r="A9" s="187"/>
      <c r="B9" s="188"/>
      <c r="C9" s="189"/>
      <c r="D9" s="118" t="s">
        <v>31</v>
      </c>
      <c r="E9" s="120">
        <f ca="1">[1]!ripe([1]!Olekuvorrand($C6,$T7,$Y7,$X7,$W7,E$4,[1]!juhe($T7,6),TRUE),[1]!juhe($T7,6),$C6,0)</f>
        <v>11.321716940858156</v>
      </c>
      <c r="F9" s="120">
        <f ca="1">[1]!ripe([1]!Olekuvorrand($C6,$T7,$Y7,$X7,$W7,F$4,[1]!juhe($T7,6),TRUE),[1]!juhe($T7,6),$C6,0)</f>
        <v>11.551753605271836</v>
      </c>
      <c r="G9" s="120">
        <f ca="1">[1]!ripe([1]!Olekuvorrand($C6,$T7,$Y7,$X7,$W7,G$4,[1]!juhe($T7,6),TRUE),[1]!juhe($T7,6),$C6,0)</f>
        <v>11.780721818586903</v>
      </c>
      <c r="H9" s="120">
        <f ca="1">[1]!ripe([1]!Olekuvorrand($C6,$T7,$Y7,$X7,$W7,H$4,[1]!juhe($T7,6),TRUE),[1]!juhe($T7,6),$C6,0)</f>
        <v>12.008515029680733</v>
      </c>
      <c r="I9" s="120">
        <f ca="1">[1]!ripe([1]!Olekuvorrand($C6,$T7,$Y7,$X7,$W7,I$4,[1]!juhe($T7,6),TRUE),[1]!juhe($T7,6),$C6,0)</f>
        <v>12.235027808415644</v>
      </c>
      <c r="J9" s="120">
        <f ca="1">[1]!ripe([1]!Olekuvorrand($C6,$T7,$Y7,$X7,$W7,J$4,[1]!juhe($T7,6),TRUE),[1]!juhe($T7,6),$C6,0)</f>
        <v>12.460195989850936</v>
      </c>
      <c r="K9" s="120">
        <f ca="1">[1]!ripe([1]!Olekuvorrand($C6,$T7,$Y7,$X7,$W7,K$4,[1]!juhe($T7,6),TRUE),[1]!juhe($T7,6),$C6,0)</f>
        <v>12.683910105996105</v>
      </c>
      <c r="L9" s="120">
        <f ca="1">[1]!ripe([1]!Olekuvorrand($C6,$T7,$Y7,$X7,$W7,L$4,[1]!juhe($T7,6),TRUE),[1]!juhe($T7,6),$C6,0)</f>
        <v>12.906120344796136</v>
      </c>
      <c r="M9" s="120">
        <f ca="1">[1]!ripe([1]!Olekuvorrand($C6,$T7,$Y7,$X7,$W7,M$4,[1]!juhe($T7,6),TRUE),[1]!juhe($T7,6),$C6,0)</f>
        <v>13.126819667619527</v>
      </c>
      <c r="N9" s="120">
        <f ca="1">[1]!ripe([1]!Olekuvorrand($C6,$T7,$Y7,$X7,$W7,N$4,[1]!juhe($T7,6),TRUE),[1]!juhe($T7,6),$C6,0)</f>
        <v>13.345896739290732</v>
      </c>
      <c r="O9" s="190"/>
      <c r="P9" s="221"/>
      <c r="Q9" s="141" t="s">
        <v>197</v>
      </c>
      <c r="R9"/>
      <c r="S9"/>
      <c r="T9"/>
      <c r="U9"/>
      <c r="V9"/>
      <c r="W9"/>
      <c r="X9"/>
      <c r="Y9"/>
      <c r="Z9"/>
    </row>
    <row r="10" spans="1:29" s="114" customFormat="1" x14ac:dyDescent="0.2">
      <c r="A10" s="187"/>
      <c r="B10" s="188"/>
      <c r="C10" s="189"/>
      <c r="D10" s="118" t="s">
        <v>195</v>
      </c>
      <c r="E10" s="120">
        <f ca="1">[1]!ripe([1]!Olekuvorrand($C6,$T7,$Y7,$X7,$W7,E$4,[1]!juhe($T7,6)),[1]!juhe($T7,6),$C6,0)</f>
        <v>11.86253805207282</v>
      </c>
      <c r="F10" s="120">
        <f ca="1">[1]!ripe([1]!Olekuvorrand($C6,$T7,$Y7,$X7,$W7,F$4,[1]!juhe($T7,6)),[1]!juhe($T7,6),$C6,0)</f>
        <v>12.101710227543187</v>
      </c>
      <c r="G10" s="120">
        <f ca="1">[1]!ripe([1]!Olekuvorrand($C6,$T7,$Y7,$X7,$W7,G$4,[1]!juhe($T7,6)),[1]!juhe($T7,6),$C6,0)</f>
        <v>12.33887078371494</v>
      </c>
      <c r="H10" s="120">
        <f ca="1">[1]!ripe([1]!Olekuvorrand($C6,$T7,$Y7,$X7,$W7,H$4,[1]!juhe($T7,6)),[1]!juhe($T7,6),$C6,0)</f>
        <v>12.573981696055895</v>
      </c>
      <c r="I10" s="120">
        <f ca="1">[1]!ripe([1]!Olekuvorrand($C6,$T7,$Y7,$X7,$W7,I$4,[1]!juhe($T7,6)),[1]!juhe($T7,6),$C6,0)</f>
        <v>12.807026800753279</v>
      </c>
      <c r="J10" s="120">
        <f ca="1">[1]!ripe([1]!Olekuvorrand($C6,$T7,$Y7,$X7,$W7,J$4,[1]!juhe($T7,6)),[1]!juhe($T7,6),$C6,0)</f>
        <v>13.037936817870277</v>
      </c>
      <c r="K10" s="120">
        <f ca="1">[1]!ripe([1]!Olekuvorrand($C6,$T7,$Y7,$X7,$W7,K$4,[1]!juhe($T7,6)),[1]!juhe($T7,6),$C6,0)</f>
        <v>13.266746185013568</v>
      </c>
      <c r="L10" s="120">
        <f ca="1">[1]!ripe([1]!Olekuvorrand($C6,$T7,$Y7,$X7,$W7,L$4,[1]!juhe($T7,6)),[1]!juhe($T7,6),$C6,0)</f>
        <v>13.493400759305535</v>
      </c>
      <c r="M10" s="120">
        <f ca="1">[1]!ripe([1]!Olekuvorrand($C6,$T7,$Y7,$X7,$W7,M$4,[1]!juhe($T7,6)),[1]!juhe($T7,6),$C6,0)</f>
        <v>13.71794772855619</v>
      </c>
      <c r="N10" s="120">
        <f ca="1">[1]!ripe([1]!Olekuvorrand($C6,$T7,$Y7,$X7,$W7,N$4,[1]!juhe($T7,6)),[1]!juhe($T7,6),$C6,0)</f>
        <v>13.940383559040317</v>
      </c>
      <c r="O10" s="190"/>
      <c r="P10" s="221"/>
      <c r="Q10" s="141" t="s">
        <v>197</v>
      </c>
      <c r="R10"/>
      <c r="S10"/>
      <c r="T10"/>
      <c r="U10"/>
      <c r="V10"/>
      <c r="W10"/>
      <c r="X10"/>
      <c r="Y10"/>
      <c r="Z10"/>
      <c r="AC10" s="121"/>
    </row>
    <row r="11" spans="1:29" x14ac:dyDescent="0.2">
      <c r="A11" s="105"/>
      <c r="B11" s="113" t="str">
        <f ca="1">INDIRECT("Visangud!C" &amp; R11)</f>
        <v>103Y-104Y</v>
      </c>
      <c r="C11" s="106">
        <f ca="1">INDIRECT("Visangud!"&amp;Q11&amp;R11)</f>
        <v>427.66737956155202</v>
      </c>
      <c r="D11" s="10" t="s">
        <v>31</v>
      </c>
      <c r="E11" s="12">
        <f ca="1">[1]!ripe(E$6,[1]!juhe($T$7,6),$C11,0)</f>
        <v>10.354092542442681</v>
      </c>
      <c r="F11" s="12">
        <f ca="1">[1]!ripe(F$6,[1]!juhe($T$7,6),$C11,0)</f>
        <v>10.564468841720972</v>
      </c>
      <c r="G11" s="12">
        <f ca="1">[1]!ripe(G$6,[1]!juhe($T$7,6),$C11,0)</f>
        <v>10.773868006381791</v>
      </c>
      <c r="H11" s="12">
        <f ca="1">[1]!ripe(H$6,[1]!juhe($T$7,6),$C11,0)</f>
        <v>10.982192591824653</v>
      </c>
      <c r="I11" s="12">
        <f ca="1">[1]!ripe(I$6,[1]!juhe($T$7,6),$C11,0)</f>
        <v>11.189346178627657</v>
      </c>
      <c r="J11" s="12">
        <f ca="1">[1]!ripe(J$6,[1]!juhe($T$7,6),$C11,0)</f>
        <v>11.395270085785315</v>
      </c>
      <c r="K11" s="12">
        <f ca="1">[1]!ripe(K$6,[1]!juhe($T$7,6),$C11,0)</f>
        <v>11.599864201122937</v>
      </c>
      <c r="L11" s="12">
        <f ca="1">[1]!ripe(L$6,[1]!juhe($T$7,6),$C11,0)</f>
        <v>11.803082969833772</v>
      </c>
      <c r="M11" s="12">
        <f ca="1">[1]!ripe(M$6,[1]!juhe($T$7,6),$C11,0)</f>
        <v>12.004919954851578</v>
      </c>
      <c r="N11" s="12">
        <f ca="1">[1]!ripe(N$6,[1]!juhe($T$7,6),$C11,0)</f>
        <v>12.20527333639788</v>
      </c>
      <c r="O11" s="107"/>
      <c r="Q11" s="141" t="s">
        <v>197</v>
      </c>
      <c r="R11">
        <v>15</v>
      </c>
      <c r="S11"/>
      <c r="T11"/>
      <c r="U11"/>
      <c r="V11"/>
      <c r="W11"/>
      <c r="X11"/>
      <c r="Y11"/>
      <c r="Z11"/>
      <c r="AC11" s="11"/>
    </row>
    <row r="12" spans="1:29" x14ac:dyDescent="0.2">
      <c r="A12" s="105"/>
      <c r="B12" s="113" t="str">
        <f t="shared" ref="B12:B16" ca="1" si="1">INDIRECT("Visangud!C" &amp; R12)</f>
        <v>104Y-105Y</v>
      </c>
      <c r="C12" s="106">
        <f t="shared" ref="C12:C16" ca="1" si="2">INDIRECT("Visangud!"&amp;Q12&amp;R12)</f>
        <v>450.81823399219502</v>
      </c>
      <c r="D12" s="10" t="s">
        <v>31</v>
      </c>
      <c r="E12" s="12">
        <f ca="1">[1]!ripe(E$6,[1]!juhe($T$7,6),$C12,0)</f>
        <v>11.505426910942273</v>
      </c>
      <c r="F12" s="12">
        <f ca="1">[1]!ripe(F$6,[1]!juhe($T$7,6),$C12,0)</f>
        <v>11.739196227298978</v>
      </c>
      <c r="G12" s="12">
        <f ca="1">[1]!ripe(G$6,[1]!juhe($T$7,6),$C12,0)</f>
        <v>11.971879755511781</v>
      </c>
      <c r="H12" s="12">
        <f ca="1">[1]!ripe(H$6,[1]!juhe($T$7,6),$C12,0)</f>
        <v>12.203369215523864</v>
      </c>
      <c r="I12" s="12">
        <f ca="1">[1]!ripe(I$6,[1]!juhe($T$7,6),$C12,0)</f>
        <v>12.433557466452827</v>
      </c>
      <c r="J12" s="12">
        <f ca="1">[1]!ripe(J$6,[1]!juhe($T$7,6),$C12,0)</f>
        <v>12.662379302196159</v>
      </c>
      <c r="K12" s="12">
        <f ca="1">[1]!ripe(K$6,[1]!juhe($T$7,6),$C12,0)</f>
        <v>12.889723478499088</v>
      </c>
      <c r="L12" s="12">
        <f ca="1">[1]!ripe(L$6,[1]!juhe($T$7,6),$C12,0)</f>
        <v>13.115539375039509</v>
      </c>
      <c r="M12" s="12">
        <f ca="1">[1]!ripe(M$6,[1]!juhe($T$7,6),$C12,0)</f>
        <v>13.339819838974737</v>
      </c>
      <c r="N12" s="12">
        <f ca="1">[1]!ripe(N$6,[1]!juhe($T$7,6),$C12,0)</f>
        <v>13.56245172856738</v>
      </c>
      <c r="O12" s="107"/>
      <c r="Q12" s="141" t="s">
        <v>197</v>
      </c>
      <c r="R12">
        <v>16</v>
      </c>
      <c r="S12"/>
      <c r="T12"/>
      <c r="U12"/>
      <c r="V12"/>
      <c r="W12"/>
      <c r="X12"/>
      <c r="Y12"/>
      <c r="Z12"/>
      <c r="AC12" s="11"/>
    </row>
    <row r="13" spans="1:29" x14ac:dyDescent="0.2">
      <c r="A13" s="105"/>
      <c r="B13" s="113" t="str">
        <f t="shared" ca="1" si="1"/>
        <v>105Y-106Y</v>
      </c>
      <c r="C13" s="106">
        <f t="shared" ca="1" si="2"/>
        <v>450.82239030482776</v>
      </c>
      <c r="D13" s="10" t="s">
        <v>31</v>
      </c>
      <c r="E13" s="12">
        <f ca="1">[1]!ripe(E$6,[1]!juhe($T$7,6),$C13,0)</f>
        <v>11.505639060176922</v>
      </c>
      <c r="F13" s="12">
        <f ca="1">[1]!ripe(F$6,[1]!juhe($T$7,6),$C13,0)</f>
        <v>11.739412687019621</v>
      </c>
      <c r="G13" s="12">
        <f ca="1">[1]!ripe(G$6,[1]!juhe($T$7,6),$C13,0)</f>
        <v>11.972100505697506</v>
      </c>
      <c r="H13" s="12">
        <f ca="1">[1]!ripe(H$6,[1]!juhe($T$7,6),$C13,0)</f>
        <v>12.20359423415718</v>
      </c>
      <c r="I13" s="12">
        <f ca="1">[1]!ripe(I$6,[1]!juhe($T$7,6),$C13,0)</f>
        <v>12.433786729540664</v>
      </c>
      <c r="J13" s="12">
        <f ca="1">[1]!ripe(J$6,[1]!juhe($T$7,6),$C13,0)</f>
        <v>12.662612784543107</v>
      </c>
      <c r="K13" s="12">
        <f ca="1">[1]!ripe(K$6,[1]!juhe($T$7,6),$C13,0)</f>
        <v>12.889961152858497</v>
      </c>
      <c r="L13" s="12">
        <f ca="1">[1]!ripe(L$6,[1]!juhe($T$7,6),$C13,0)</f>
        <v>13.115781213231344</v>
      </c>
      <c r="M13" s="12">
        <f ca="1">[1]!ripe(M$6,[1]!juhe($T$7,6),$C13,0)</f>
        <v>13.340065812687063</v>
      </c>
      <c r="N13" s="12">
        <f ca="1">[1]!ripe(N$6,[1]!juhe($T$7,6),$C13,0)</f>
        <v>13.562701807402043</v>
      </c>
      <c r="O13" s="107"/>
      <c r="Q13" s="141" t="s">
        <v>197</v>
      </c>
      <c r="R13">
        <v>17</v>
      </c>
      <c r="S13"/>
      <c r="T13"/>
      <c r="U13"/>
      <c r="V13"/>
      <c r="W13"/>
      <c r="X13"/>
      <c r="Y13"/>
      <c r="Z13"/>
      <c r="AC13" s="11"/>
    </row>
    <row r="14" spans="1:29" x14ac:dyDescent="0.2">
      <c r="A14" s="105"/>
      <c r="B14" s="113" t="str">
        <f t="shared" ca="1" si="1"/>
        <v>106Y-107Y</v>
      </c>
      <c r="C14" s="106">
        <f t="shared" ca="1" si="2"/>
        <v>450.81940475091346</v>
      </c>
      <c r="D14" s="10" t="s">
        <v>31</v>
      </c>
      <c r="E14" s="12">
        <f ca="1">[1]!ripe(E$6,[1]!juhe($T$7,6),$C14,0)</f>
        <v>11.505486669378557</v>
      </c>
      <c r="F14" s="12">
        <f ca="1">[1]!ripe(F$6,[1]!juhe($T$7,6),$C14,0)</f>
        <v>11.739257199917832</v>
      </c>
      <c r="G14" s="12">
        <f ca="1">[1]!ripe(G$6,[1]!juhe($T$7,6),$C14,0)</f>
        <v>11.971941936673689</v>
      </c>
      <c r="H14" s="12">
        <f ca="1">[1]!ripe(H$6,[1]!juhe($T$7,6),$C14,0)</f>
        <v>12.203432599026916</v>
      </c>
      <c r="I14" s="12">
        <f ca="1">[1]!ripe(I$6,[1]!juhe($T$7,6),$C14,0)</f>
        <v>12.433622045538629</v>
      </c>
      <c r="J14" s="12">
        <f ca="1">[1]!ripe(J$6,[1]!juhe($T$7,6),$C14,0)</f>
        <v>12.662445069767639</v>
      </c>
      <c r="K14" s="12">
        <f ca="1">[1]!ripe(K$6,[1]!juhe($T$7,6),$C14,0)</f>
        <v>12.889790426881376</v>
      </c>
      <c r="L14" s="12">
        <f ca="1">[1]!ripe(L$6,[1]!juhe($T$7,6),$C14,0)</f>
        <v>13.115607496294823</v>
      </c>
      <c r="M14" s="12">
        <f ca="1">[1]!ripe(M$6,[1]!juhe($T$7,6),$C14,0)</f>
        <v>13.339889125128138</v>
      </c>
      <c r="N14" s="12">
        <f ca="1">[1]!ripe(N$6,[1]!juhe($T$7,6),$C14,0)</f>
        <v>13.562522171056282</v>
      </c>
      <c r="O14" s="107"/>
      <c r="Q14" s="141" t="s">
        <v>197</v>
      </c>
      <c r="R14">
        <v>18</v>
      </c>
      <c r="S14"/>
      <c r="T14"/>
      <c r="U14"/>
      <c r="V14"/>
      <c r="W14"/>
      <c r="X14"/>
      <c r="Y14"/>
      <c r="Z14"/>
      <c r="AC14" s="11"/>
    </row>
    <row r="15" spans="1:29" x14ac:dyDescent="0.2">
      <c r="A15" s="105"/>
      <c r="B15" s="113" t="str">
        <f t="shared" ca="1" si="1"/>
        <v>107Y-108Y</v>
      </c>
      <c r="C15" s="106">
        <f t="shared" ca="1" si="2"/>
        <v>450.88263938651085</v>
      </c>
      <c r="D15" s="10" t="s">
        <v>31</v>
      </c>
      <c r="E15" s="12">
        <f ca="1">[1]!ripe(E$6,[1]!juhe($T$7,6),$C15,0)</f>
        <v>11.50871455297972</v>
      </c>
      <c r="F15" s="12">
        <f ca="1">[1]!ripe(F$6,[1]!juhe($T$7,6),$C15,0)</f>
        <v>11.742550668233806</v>
      </c>
      <c r="G15" s="12">
        <f ca="1">[1]!ripe(G$6,[1]!juhe($T$7,6),$C15,0)</f>
        <v>11.975300685083203</v>
      </c>
      <c r="H15" s="12">
        <f ca="1">[1]!ripe(H$6,[1]!juhe($T$7,6),$C15,0)</f>
        <v>12.206856292530393</v>
      </c>
      <c r="I15" s="12">
        <f ca="1">[1]!ripe(I$6,[1]!juhe($T$7,6),$C15,0)</f>
        <v>12.43711031907778</v>
      </c>
      <c r="J15" s="12">
        <f ca="1">[1]!ripe(J$6,[1]!juhe($T$7,6),$C15,0)</f>
        <v>12.665997539990398</v>
      </c>
      <c r="K15" s="12">
        <f ca="1">[1]!ripe(K$6,[1]!juhe($T$7,6),$C15,0)</f>
        <v>12.893406679225754</v>
      </c>
      <c r="L15" s="12">
        <f ca="1">[1]!ripe(L$6,[1]!juhe($T$7,6),$C15,0)</f>
        <v>13.119287101997141</v>
      </c>
      <c r="M15" s="12">
        <f ca="1">[1]!ripe(M$6,[1]!juhe($T$7,6),$C15,0)</f>
        <v>13.343631653417962</v>
      </c>
      <c r="N15" s="12">
        <f ca="1">[1]!ripe(N$6,[1]!juhe($T$7,6),$C15,0)</f>
        <v>13.56632715942091</v>
      </c>
      <c r="O15" s="107"/>
      <c r="Q15" s="141" t="s">
        <v>197</v>
      </c>
      <c r="R15">
        <v>19</v>
      </c>
      <c r="S15"/>
      <c r="T15"/>
      <c r="U15"/>
      <c r="V15"/>
      <c r="W15"/>
      <c r="X15"/>
      <c r="Y15"/>
      <c r="Z15"/>
      <c r="AC15" s="11"/>
    </row>
    <row r="16" spans="1:29" x14ac:dyDescent="0.2">
      <c r="A16" s="105"/>
      <c r="B16" s="113" t="str">
        <f t="shared" ca="1" si="1"/>
        <v>108Y-109Y</v>
      </c>
      <c r="C16" s="106">
        <f t="shared" ca="1" si="2"/>
        <v>450.73649608150839</v>
      </c>
      <c r="D16" s="10" t="s">
        <v>31</v>
      </c>
      <c r="E16" s="12">
        <f ca="1">[1]!ripe(E$6,[1]!juhe($T$7,6),$C16,0)</f>
        <v>11.501255188364727</v>
      </c>
      <c r="F16" s="12">
        <f ca="1">[1]!ripe(F$6,[1]!juhe($T$7,6),$C16,0)</f>
        <v>11.734939742917934</v>
      </c>
      <c r="G16" s="12">
        <f ca="1">[1]!ripe(G$6,[1]!juhe($T$7,6),$C16,0)</f>
        <v>11.967538903020316</v>
      </c>
      <c r="H16" s="12">
        <f ca="1">[1]!ripe(H$6,[1]!juhe($T$7,6),$C16,0)</f>
        <v>12.198944427876034</v>
      </c>
      <c r="I16" s="12">
        <f ca="1">[1]!ripe(I$6,[1]!juhe($T$7,6),$C16,0)</f>
        <v>12.429049215450625</v>
      </c>
      <c r="J16" s="12">
        <f ca="1">[1]!ripe(J$6,[1]!juhe($T$7,6),$C16,0)</f>
        <v>12.657788083284483</v>
      </c>
      <c r="K16" s="12">
        <f ca="1">[1]!ripe(K$6,[1]!juhe($T$7,6),$C16,0)</f>
        <v>12.8850498274586</v>
      </c>
      <c r="L16" s="12">
        <f ca="1">[1]!ripe(L$6,[1]!juhe($T$7,6),$C16,0)</f>
        <v>13.110783846005162</v>
      </c>
      <c r="M16" s="12">
        <f ca="1">[1]!ripe(M$6,[1]!juhe($T$7,6),$C16,0)</f>
        <v>13.334982988675012</v>
      </c>
      <c r="N16" s="12">
        <f ca="1">[1]!ripe(N$6,[1]!juhe($T$7,6),$C16,0)</f>
        <v>13.557534154754526</v>
      </c>
      <c r="O16" s="107"/>
      <c r="Q16" s="141" t="s">
        <v>197</v>
      </c>
      <c r="R16">
        <v>20</v>
      </c>
      <c r="S16"/>
      <c r="T16"/>
      <c r="U16"/>
      <c r="V16"/>
      <c r="W16"/>
      <c r="X16"/>
      <c r="Y16"/>
      <c r="Z16"/>
      <c r="AC16" s="11"/>
    </row>
    <row r="17" spans="1:29" s="114" customFormat="1" hidden="1" x14ac:dyDescent="0.2">
      <c r="A17" s="187">
        <v>2</v>
      </c>
      <c r="B17" s="188" t="str">
        <f ca="1">R18</f>
        <v>109Y- 117Y</v>
      </c>
      <c r="C17" s="189">
        <f ca="1">S18</f>
        <v>443.42681236767572</v>
      </c>
      <c r="D17" s="118" t="s">
        <v>130</v>
      </c>
      <c r="E17" s="119">
        <f ca="1">[1]!Olekuvorrand($C17,$T18,$Y18,$X18,$W18,E$4,[1]!juhe($T18,6),TRUE)</f>
        <v>74.994504451751709</v>
      </c>
      <c r="F17" s="119">
        <f ca="1">[1]!Olekuvorrand($C17,$T18,$Y18,$X18,$W18,F$4,[1]!juhe($T18,6),TRUE)</f>
        <v>73.479354381561279</v>
      </c>
      <c r="G17" s="119">
        <f ca="1">[1]!Olekuvorrand($C17,$T18,$Y18,$X18,$W18,G$4,[1]!juhe($T18,6),TRUE)</f>
        <v>72.030603885650635</v>
      </c>
      <c r="H17" s="119">
        <f ca="1">[1]!Olekuvorrand($C17,$T18,$Y18,$X18,$W18,H$4,[1]!juhe($T18,6),TRUE)</f>
        <v>70.644676685333252</v>
      </c>
      <c r="I17" s="119">
        <f ca="1">[1]!Olekuvorrand($C17,$T18,$Y18,$X18,$W18,I$4,[1]!juhe($T18,6),TRUE)</f>
        <v>69.318234920501709</v>
      </c>
      <c r="J17" s="119">
        <f ca="1">[1]!Olekuvorrand($C17,$T18,$Y18,$X18,$W18,J$4,[1]!juhe($T18,6),TRUE)</f>
        <v>68.048059940338135</v>
      </c>
      <c r="K17" s="119">
        <f ca="1">[1]!Olekuvorrand($C17,$T18,$Y18,$X18,$W18,K$4,[1]!juhe($T18,6),TRUE)</f>
        <v>66.83117151260376</v>
      </c>
      <c r="L17" s="119">
        <f ca="1">[1]!Olekuvorrand($C17,$T18,$Y18,$X18,$W18,L$4,[1]!juhe($T18,6),TRUE)</f>
        <v>65.664708614349365</v>
      </c>
      <c r="M17" s="119">
        <f ca="1">[1]!Olekuvorrand($C17,$T18,$Y18,$X18,$W18,M$4,[1]!juhe($T18,6),TRUE)</f>
        <v>64.545929431915283</v>
      </c>
      <c r="N17" s="119">
        <f ca="1">[1]!Olekuvorrand($C17,$T18,$Y18,$X18,$W18,N$4,[1]!juhe($T18,6),TRUE)</f>
        <v>63.472211360931396</v>
      </c>
      <c r="O17" s="190">
        <f ca="1">U18</f>
        <v>65</v>
      </c>
      <c r="P17" s="221"/>
      <c r="Q17" s="142"/>
      <c r="R17"/>
      <c r="S17"/>
      <c r="T17"/>
      <c r="U17"/>
      <c r="V17"/>
      <c r="W17"/>
      <c r="X17"/>
      <c r="Y17"/>
      <c r="Z17"/>
    </row>
    <row r="18" spans="1:29" s="114" customFormat="1" x14ac:dyDescent="0.2">
      <c r="A18" s="187"/>
      <c r="B18" s="188"/>
      <c r="C18" s="189"/>
      <c r="D18" s="118" t="s">
        <v>32</v>
      </c>
      <c r="E18" s="119">
        <f ca="1">E17*[1]!juhe($T18,2)/10</f>
        <v>2106.1456630229945</v>
      </c>
      <c r="F18" s="119">
        <f ca="1">F17*[1]!juhe($T18,2)/10</f>
        <v>2063.5941884517665</v>
      </c>
      <c r="G18" s="119">
        <f ca="1">G17*[1]!juhe($T18,2)/10</f>
        <v>2022.9074795246124</v>
      </c>
      <c r="H18" s="119">
        <f ca="1">H17*[1]!juhe($T18,2)/10</f>
        <v>1983.985100030899</v>
      </c>
      <c r="I18" s="119">
        <f ca="1">I17*[1]!juhe($T18,2)/10</f>
        <v>1946.73330950737</v>
      </c>
      <c r="J18" s="119">
        <f ca="1">J17*[1]!juhe($T18,2)/10</f>
        <v>1911.0617153644562</v>
      </c>
      <c r="K18" s="119">
        <f ca="1">K17*[1]!juhe($T18,2)/10</f>
        <v>1876.886620759964</v>
      </c>
      <c r="L18" s="119">
        <f ca="1">L17*[1]!juhe($T18,2)/10</f>
        <v>1844.1276767253876</v>
      </c>
      <c r="M18" s="119">
        <f ca="1">M17*[1]!juhe($T18,2)/10</f>
        <v>1812.7078821659088</v>
      </c>
      <c r="N18" s="119">
        <f ca="1">N17*[1]!juhe($T18,2)/10</f>
        <v>1782.5535838603973</v>
      </c>
      <c r="O18" s="190"/>
      <c r="P18" s="221"/>
      <c r="Q18" s="141" t="s">
        <v>201</v>
      </c>
      <c r="R18" s="129" t="str">
        <f ca="1">INDIRECT("'"&amp;$S$1&amp;"'!"&amp;$Q18&amp;R$4)</f>
        <v>109Y- 117Y</v>
      </c>
      <c r="S18" s="129">
        <f ca="1">INDIRECT("'"&amp;$S$1&amp;"'!"&amp;$Q18&amp;S$4)</f>
        <v>443.42681236767572</v>
      </c>
      <c r="T18" s="129" t="str">
        <f ca="1">INDIRECT("'"&amp;$S$1&amp;"'!"&amp;$Q18&amp;T$4)</f>
        <v>242-Al1/39-ST1A Hawk</v>
      </c>
      <c r="U18" s="129">
        <f ca="1">INDIRECT("'"&amp;$S$1&amp;"'!"&amp;$Q18&amp;U$4)</f>
        <v>65</v>
      </c>
      <c r="V18" s="129">
        <f ca="1">INDIRECT("'"&amp;$S$1&amp;"'!"&amp;$Q18&amp;V$4)</f>
        <v>5</v>
      </c>
      <c r="W18" s="129">
        <f ca="1">INDIRECT("'"&amp;$S$1&amp;"'!"&amp;$Q18&amp;W$4)</f>
        <v>8.12185629860456E-2</v>
      </c>
      <c r="X18" s="129">
        <f ca="1">INDIRECT("'"&amp;$S$1&amp;"'!"&amp;$Q18&amp;X$4)</f>
        <v>-5</v>
      </c>
      <c r="Y18" s="129">
        <f ca="1">INDIRECT("'"&amp;$S$1&amp;"'!"&amp;$Q18&amp;Y$4)</f>
        <v>135.10221242904663</v>
      </c>
      <c r="Z18" s="129">
        <v>2</v>
      </c>
    </row>
    <row r="19" spans="1:29" s="114" customFormat="1" x14ac:dyDescent="0.2">
      <c r="A19" s="187"/>
      <c r="B19" s="188"/>
      <c r="C19" s="189"/>
      <c r="D19" s="118" t="str">
        <f>CONCATENATE(Z18,"T, [daN]")</f>
        <v>2T, [daN]</v>
      </c>
      <c r="E19" s="119">
        <f ca="1">E18*$Z18</f>
        <v>4212.2913260459891</v>
      </c>
      <c r="F19" s="119">
        <f t="shared" ref="F19:N19" ca="1" si="3">F18*$Z18</f>
        <v>4127.188376903533</v>
      </c>
      <c r="G19" s="119">
        <f t="shared" ca="1" si="3"/>
        <v>4045.8149590492249</v>
      </c>
      <c r="H19" s="119">
        <f t="shared" ca="1" si="3"/>
        <v>3967.9702000617981</v>
      </c>
      <c r="I19" s="119">
        <f t="shared" ca="1" si="3"/>
        <v>3893.46661901474</v>
      </c>
      <c r="J19" s="119">
        <f t="shared" ca="1" si="3"/>
        <v>3822.1234307289124</v>
      </c>
      <c r="K19" s="119">
        <f t="shared" ca="1" si="3"/>
        <v>3753.773241519928</v>
      </c>
      <c r="L19" s="119">
        <f t="shared" ca="1" si="3"/>
        <v>3688.2553534507751</v>
      </c>
      <c r="M19" s="119">
        <f t="shared" ca="1" si="3"/>
        <v>3625.4157643318176</v>
      </c>
      <c r="N19" s="119">
        <f t="shared" ca="1" si="3"/>
        <v>3565.1071677207947</v>
      </c>
      <c r="O19" s="190"/>
      <c r="P19" s="221"/>
      <c r="Q19" s="141" t="s">
        <v>201</v>
      </c>
      <c r="R19"/>
      <c r="S19"/>
      <c r="T19"/>
      <c r="U19"/>
      <c r="V19"/>
      <c r="W19"/>
      <c r="X19"/>
      <c r="Y19"/>
      <c r="Z19"/>
    </row>
    <row r="20" spans="1:29" s="114" customFormat="1" x14ac:dyDescent="0.2">
      <c r="A20" s="187"/>
      <c r="B20" s="188"/>
      <c r="C20" s="189"/>
      <c r="D20" s="118" t="s">
        <v>31</v>
      </c>
      <c r="E20" s="120">
        <f ca="1">[1]!ripe([1]!Olekuvorrand($C17,$T18,$Y18,$X18,$W18,E$4,[1]!juhe($T18,6),TRUE),[1]!juhe($T18,6),$C17,0)</f>
        <v>11.110258685685963</v>
      </c>
      <c r="F20" s="120">
        <f ca="1">[1]!ripe([1]!Olekuvorrand($C17,$T18,$Y18,$X18,$W18,F$4,[1]!juhe($T18,6),TRUE),[1]!juhe($T18,6),$C17,0)</f>
        <v>11.339353094164805</v>
      </c>
      <c r="G20" s="120">
        <f ca="1">[1]!ripe([1]!Olekuvorrand($C17,$T18,$Y18,$X18,$W18,G$4,[1]!juhe($T18,6),TRUE),[1]!juhe($T18,6),$C17,0)</f>
        <v>11.567421339220152</v>
      </c>
      <c r="H20" s="120">
        <f ca="1">[1]!ripe([1]!Olekuvorrand($C17,$T18,$Y18,$X18,$W18,H$4,[1]!juhe($T18,6),TRUE),[1]!juhe($T18,6),$C17,0)</f>
        <v>11.794354274916994</v>
      </c>
      <c r="I20" s="120">
        <f ca="1">[1]!ripe([1]!Olekuvorrand($C17,$T18,$Y18,$X18,$W18,I$4,[1]!juhe($T18,6),TRUE),[1]!juhe($T18,6),$C17,0)</f>
        <v>12.020045597227947</v>
      </c>
      <c r="J20" s="120">
        <f ca="1">[1]!ripe([1]!Olekuvorrand($C17,$T18,$Y18,$X18,$W18,J$4,[1]!juhe($T18,6),TRUE),[1]!juhe($T18,6),$C17,0)</f>
        <v>12.244409983095968</v>
      </c>
      <c r="K20" s="120">
        <f ca="1">[1]!ripe([1]!Olekuvorrand($C17,$T18,$Y18,$X18,$W18,K$4,[1]!juhe($T18,6),TRUE),[1]!juhe($T18,6),$C17,0)</f>
        <v>12.467361047331835</v>
      </c>
      <c r="L20" s="120">
        <f ca="1">[1]!ripe([1]!Olekuvorrand($C17,$T18,$Y18,$X18,$W18,L$4,[1]!juhe($T18,6),TRUE),[1]!juhe($T18,6),$C17,0)</f>
        <v>12.688830302396445</v>
      </c>
      <c r="M20" s="120">
        <f ca="1">[1]!ripe([1]!Olekuvorrand($C17,$T18,$Y18,$X18,$W18,M$4,[1]!juhe($T18,6),TRUE),[1]!juhe($T18,6),$C17,0)</f>
        <v>12.908766699884287</v>
      </c>
      <c r="N20" s="120">
        <f ca="1">[1]!ripe([1]!Olekuvorrand($C17,$T18,$Y18,$X18,$W18,N$4,[1]!juhe($T18,6),TRUE),[1]!juhe($T18,6),$C17,0)</f>
        <v>13.127135900871542</v>
      </c>
      <c r="O20" s="190"/>
      <c r="P20" s="221"/>
      <c r="Q20" s="141" t="s">
        <v>201</v>
      </c>
      <c r="R20"/>
      <c r="S20"/>
      <c r="T20"/>
      <c r="U20"/>
      <c r="V20"/>
      <c r="W20"/>
      <c r="X20"/>
      <c r="Y20"/>
      <c r="Z20"/>
    </row>
    <row r="21" spans="1:29" s="114" customFormat="1" x14ac:dyDescent="0.2">
      <c r="A21" s="187"/>
      <c r="B21" s="188"/>
      <c r="C21" s="189"/>
      <c r="D21" s="118" t="s">
        <v>195</v>
      </c>
      <c r="E21" s="120">
        <f ca="1">[1]!ripe([1]!Olekuvorrand($C17,$T18,$Y18,$X18,$W18,E$4,[1]!juhe($T18,6)),[1]!juhe($T18,6),$C17,0)</f>
        <v>11.646428000309424</v>
      </c>
      <c r="F21" s="120">
        <f ca="1">[1]!ripe([1]!Olekuvorrand($C17,$T18,$Y18,$X18,$W18,F$4,[1]!juhe($T18,6)),[1]!juhe($T18,6),$C17,0)</f>
        <v>11.884923569317001</v>
      </c>
      <c r="G21" s="120">
        <f ca="1">[1]!ripe([1]!Olekuvorrand($C17,$T18,$Y18,$X18,$W18,G$4,[1]!juhe($T18,6)),[1]!juhe($T18,6),$C17,0)</f>
        <v>12.121418132091552</v>
      </c>
      <c r="H21" s="120">
        <f ca="1">[1]!ripe([1]!Olekuvorrand($C17,$T18,$Y18,$X18,$W18,H$4,[1]!juhe($T18,6)),[1]!juhe($T18,6),$C17,0)</f>
        <v>12.35590629649526</v>
      </c>
      <c r="I21" s="120">
        <f ca="1">[1]!ripe([1]!Olekuvorrand($C17,$T18,$Y18,$X18,$W18,I$4,[1]!juhe($T18,6)),[1]!juhe($T18,6),$C17,0)</f>
        <v>12.588299509550824</v>
      </c>
      <c r="J21" s="120">
        <f ca="1">[1]!ripe([1]!Olekuvorrand($C17,$T18,$Y18,$X18,$W18,J$4,[1]!juhe($T18,6)),[1]!juhe($T18,6),$C17,0)</f>
        <v>12.818590385010618</v>
      </c>
      <c r="K21" s="120">
        <f ca="1">[1]!ripe([1]!Olekuvorrand($C17,$T18,$Y18,$X18,$W18,K$4,[1]!juhe($T18,6)),[1]!juhe($T18,6),$C17,0)</f>
        <v>13.046764205855627</v>
      </c>
      <c r="L21" s="120">
        <f ca="1">[1]!ripe([1]!Olekuvorrand($C17,$T18,$Y18,$X18,$W18,L$4,[1]!juhe($T18,6)),[1]!juhe($T18,6),$C17,0)</f>
        <v>13.272815838290194</v>
      </c>
      <c r="M21" s="120">
        <f ca="1">[1]!ripe([1]!Olekuvorrand($C17,$T18,$Y18,$X18,$W18,M$4,[1]!juhe($T18,6)),[1]!juhe($T18,6),$C17,0)</f>
        <v>13.496745147670852</v>
      </c>
      <c r="N21" s="120">
        <f ca="1">[1]!ripe([1]!Olekuvorrand($C17,$T18,$Y18,$X18,$W18,N$4,[1]!juhe($T18,6)),[1]!juhe($T18,6),$C17,0)</f>
        <v>13.718551970228429</v>
      </c>
      <c r="O21" s="190"/>
      <c r="P21" s="221"/>
      <c r="Q21" s="141" t="s">
        <v>201</v>
      </c>
      <c r="R21"/>
      <c r="S21"/>
      <c r="T21"/>
      <c r="U21"/>
      <c r="V21"/>
      <c r="W21"/>
      <c r="X21"/>
      <c r="Y21"/>
      <c r="Z21"/>
      <c r="AC21" s="121"/>
    </row>
    <row r="22" spans="1:29" x14ac:dyDescent="0.2">
      <c r="A22" s="105"/>
      <c r="B22" s="113" t="str">
        <f ca="1">INDIRECT("Visangud!C" &amp; R22)</f>
        <v>109Y-110Y</v>
      </c>
      <c r="C22" s="106">
        <f ca="1">INDIRECT("Visangud!"&amp;Q22&amp;R22)</f>
        <v>443.31831024674671</v>
      </c>
      <c r="D22" s="10" t="s">
        <v>31</v>
      </c>
      <c r="E22" s="12">
        <f ca="1">[1]!ripe(E$17,[1]!juhe($T$7,6),$C22,0)</f>
        <v>11.104822211785118</v>
      </c>
      <c r="F22" s="12">
        <f ca="1">[1]!ripe(F$17,[1]!juhe($T$7,6),$C22,0)</f>
        <v>11.333804519744271</v>
      </c>
      <c r="G22" s="12">
        <f ca="1">[1]!ripe(G$17,[1]!juhe($T$7,6),$C22,0)</f>
        <v>11.561761166402414</v>
      </c>
      <c r="H22" s="12">
        <f ca="1">[1]!ripe(H$17,[1]!juhe($T$7,6),$C22,0)</f>
        <v>11.788583059231843</v>
      </c>
      <c r="I22" s="12">
        <f ca="1">[1]!ripe(I$17,[1]!juhe($T$7,6),$C22,0)</f>
        <v>12.014163946221883</v>
      </c>
      <c r="J22" s="12">
        <f ca="1">[1]!ripe(J$17,[1]!juhe($T$7,6),$C22,0)</f>
        <v>12.238418546065784</v>
      </c>
      <c r="K22" s="12">
        <f ca="1">[1]!ripe(K$17,[1]!juhe($T$7,6),$C22,0)</f>
        <v>12.461260515844341</v>
      </c>
      <c r="L22" s="12">
        <f ca="1">[1]!ripe(L$17,[1]!juhe($T$7,6),$C22,0)</f>
        <v>12.682621401530787</v>
      </c>
      <c r="M22" s="12">
        <f ca="1">[1]!ripe(M$17,[1]!juhe($T$7,6),$C22,0)</f>
        <v>12.902450179698628</v>
      </c>
      <c r="N22" s="12">
        <f ca="1">[1]!ripe(N$17,[1]!juhe($T$7,6),$C22,0)</f>
        <v>13.120712528226774</v>
      </c>
      <c r="O22" s="107"/>
      <c r="Q22" s="141" t="s">
        <v>201</v>
      </c>
      <c r="R22">
        <v>21</v>
      </c>
      <c r="S22"/>
      <c r="T22"/>
      <c r="U22"/>
      <c r="V22"/>
      <c r="W22"/>
      <c r="X22"/>
      <c r="Y22"/>
      <c r="Z22"/>
      <c r="AC22" s="11"/>
    </row>
    <row r="23" spans="1:29" x14ac:dyDescent="0.2">
      <c r="A23" s="105"/>
      <c r="B23" s="113" t="str">
        <f t="shared" ref="B23:B27" ca="1" si="4">INDIRECT("Visangud!C" &amp; R23)</f>
        <v>110Y-111Y</v>
      </c>
      <c r="C23" s="106">
        <f t="shared" ref="C23:C27" ca="1" si="5">INDIRECT("Visangud!"&amp;Q23&amp;R23)</f>
        <v>448.46203239510157</v>
      </c>
      <c r="D23" s="10" t="s">
        <v>31</v>
      </c>
      <c r="E23" s="12">
        <f ca="1">[1]!ripe(E$17,[1]!juhe($T$7,6),$C23,0)</f>
        <v>11.364010675499717</v>
      </c>
      <c r="F23" s="12">
        <f ca="1">[1]!ripe(F$17,[1]!juhe($T$7,6),$C23,0)</f>
        <v>11.59833746997886</v>
      </c>
      <c r="G23" s="12">
        <f ca="1">[1]!ripe(G$17,[1]!juhe($T$7,6),$C23,0)</f>
        <v>11.831614664045508</v>
      </c>
      <c r="H23" s="12">
        <f ca="1">[1]!ripe(H$17,[1]!juhe($T$7,6),$C23,0)</f>
        <v>12.063730618933572</v>
      </c>
      <c r="I23" s="12">
        <f ca="1">[1]!ripe(I$17,[1]!juhe($T$7,6),$C23,0)</f>
        <v>12.294576602692139</v>
      </c>
      <c r="J23" s="12">
        <f ca="1">[1]!ripe(J$17,[1]!juhe($T$7,6),$C23,0)</f>
        <v>12.524065343534064</v>
      </c>
      <c r="K23" s="12">
        <f ca="1">[1]!ripe(K$17,[1]!juhe($T$7,6),$C23,0)</f>
        <v>12.752108483281532</v>
      </c>
      <c r="L23" s="12">
        <f ca="1">[1]!ripe(L$17,[1]!juhe($T$7,6),$C23,0)</f>
        <v>12.978635970178999</v>
      </c>
      <c r="M23" s="12">
        <f ca="1">[1]!ripe(M$17,[1]!juhe($T$7,6),$C23,0)</f>
        <v>13.203595589904404</v>
      </c>
      <c r="N23" s="12">
        <f ca="1">[1]!ripe(N$17,[1]!juhe($T$7,6),$C23,0)</f>
        <v>13.426952219252435</v>
      </c>
      <c r="O23" s="107"/>
      <c r="Q23" s="141" t="s">
        <v>201</v>
      </c>
      <c r="R23">
        <v>22</v>
      </c>
      <c r="S23"/>
      <c r="T23"/>
      <c r="U23"/>
      <c r="V23"/>
      <c r="W23"/>
      <c r="X23"/>
      <c r="Y23"/>
      <c r="Z23"/>
      <c r="AC23" s="11"/>
    </row>
    <row r="24" spans="1:29" x14ac:dyDescent="0.2">
      <c r="A24" s="105"/>
      <c r="B24" s="113" t="str">
        <f t="shared" ca="1" si="4"/>
        <v>111Y-112Y</v>
      </c>
      <c r="C24" s="106">
        <f t="shared" ca="1" si="5"/>
        <v>437.42198870199996</v>
      </c>
      <c r="D24" s="10" t="s">
        <v>31</v>
      </c>
      <c r="E24" s="12">
        <f ca="1">[1]!ripe(E$17,[1]!juhe($T$7,6),$C24,0)</f>
        <v>10.81138897876423</v>
      </c>
      <c r="F24" s="12">
        <f ca="1">[1]!ripe(F$17,[1]!juhe($T$7,6),$C24,0)</f>
        <v>11.034320670365227</v>
      </c>
      <c r="G24" s="12">
        <f ca="1">[1]!ripe(G$17,[1]!juhe($T$7,6),$C24,0)</f>
        <v>11.25625380268502</v>
      </c>
      <c r="H24" s="12">
        <f ca="1">[1]!ripe(H$17,[1]!juhe($T$7,6),$C24,0)</f>
        <v>11.477082165851073</v>
      </c>
      <c r="I24" s="12">
        <f ca="1">[1]!ripe(I$17,[1]!juhe($T$7,6),$C24,0)</f>
        <v>11.696702315450201</v>
      </c>
      <c r="J24" s="12">
        <f ca="1">[1]!ripe(J$17,[1]!juhe($T$7,6),$C24,0)</f>
        <v>11.915031223644382</v>
      </c>
      <c r="K24" s="12">
        <f ca="1">[1]!ripe(K$17,[1]!juhe($T$7,6),$C24,0)</f>
        <v>12.131984829035128</v>
      </c>
      <c r="L24" s="12">
        <f ca="1">[1]!ripe(L$17,[1]!juhe($T$7,6),$C24,0)</f>
        <v>12.347496486421241</v>
      </c>
      <c r="M24" s="12">
        <f ca="1">[1]!ripe(M$17,[1]!juhe($T$7,6),$C24,0)</f>
        <v>12.561516520616543</v>
      </c>
      <c r="N24" s="12">
        <f ca="1">[1]!ripe(N$17,[1]!juhe($T$7,6),$C24,0)</f>
        <v>12.774011516425851</v>
      </c>
      <c r="O24" s="107"/>
      <c r="Q24" s="141" t="s">
        <v>201</v>
      </c>
      <c r="R24">
        <v>23</v>
      </c>
      <c r="S24"/>
      <c r="T24"/>
      <c r="U24"/>
      <c r="V24"/>
      <c r="W24"/>
      <c r="X24"/>
      <c r="Y24"/>
      <c r="Z24"/>
      <c r="AC24" s="11"/>
    </row>
    <row r="25" spans="1:29" x14ac:dyDescent="0.2">
      <c r="A25" s="105"/>
      <c r="B25" s="113" t="str">
        <f t="shared" ca="1" si="4"/>
        <v>112Y-113Y</v>
      </c>
      <c r="C25" s="106">
        <f t="shared" ca="1" si="5"/>
        <v>443.2931465746102</v>
      </c>
      <c r="D25" s="10" t="s">
        <v>31</v>
      </c>
      <c r="E25" s="12">
        <f ca="1">[1]!ripe(E$17,[1]!juhe($T$7,6),$C25,0)</f>
        <v>11.103561581813073</v>
      </c>
      <c r="F25" s="12">
        <f ca="1">[1]!ripe(F$17,[1]!juhe($T$7,6),$C25,0)</f>
        <v>11.332517895482992</v>
      </c>
      <c r="G25" s="12">
        <f ca="1">[1]!ripe(G$17,[1]!juhe($T$7,6),$C25,0)</f>
        <v>11.560448664285943</v>
      </c>
      <c r="H25" s="12">
        <f ca="1">[1]!ripe(H$17,[1]!juhe($T$7,6),$C25,0)</f>
        <v>11.787244808078515</v>
      </c>
      <c r="I25" s="12">
        <f ca="1">[1]!ripe(I$17,[1]!juhe($T$7,6),$C25,0)</f>
        <v>12.012800086911861</v>
      </c>
      <c r="J25" s="12">
        <f ca="1">[1]!ripe(J$17,[1]!juhe($T$7,6),$C25,0)</f>
        <v>12.237029229160445</v>
      </c>
      <c r="K25" s="12">
        <f ca="1">[1]!ripe(K$17,[1]!juhe($T$7,6),$C25,0)</f>
        <v>12.459845901706794</v>
      </c>
      <c r="L25" s="12">
        <f ca="1">[1]!ripe(L$17,[1]!juhe($T$7,6),$C25,0)</f>
        <v>12.681181658295104</v>
      </c>
      <c r="M25" s="12">
        <f ca="1">[1]!ripe(M$17,[1]!juhe($T$7,6),$C25,0)</f>
        <v>12.900985481291112</v>
      </c>
      <c r="N25" s="12">
        <f ca="1">[1]!ripe(N$17,[1]!juhe($T$7,6),$C25,0)</f>
        <v>13.119223052470005</v>
      </c>
      <c r="O25" s="107"/>
      <c r="Q25" s="141" t="s">
        <v>201</v>
      </c>
      <c r="R25">
        <v>24</v>
      </c>
      <c r="S25"/>
      <c r="T25"/>
      <c r="U25"/>
      <c r="V25"/>
      <c r="W25"/>
      <c r="X25"/>
      <c r="Y25"/>
      <c r="Z25"/>
      <c r="AC25" s="11"/>
    </row>
    <row r="26" spans="1:29" x14ac:dyDescent="0.2">
      <c r="A26" s="108"/>
      <c r="B26" s="113" t="str">
        <f t="shared" ca="1" si="4"/>
        <v>113Y-114Y</v>
      </c>
      <c r="C26" s="106">
        <f t="shared" ca="1" si="5"/>
        <v>444.94337909448757</v>
      </c>
      <c r="D26" s="10" t="s">
        <v>31</v>
      </c>
      <c r="E26" s="12">
        <f ca="1">[1]!ripe(E$17,[1]!juhe($T$7,6),$C26,0)</f>
        <v>11.186385169826844</v>
      </c>
      <c r="F26" s="12">
        <f ca="1">[1]!ripe(F$17,[1]!juhe($T$7,6),$C26,0)</f>
        <v>11.417049312399842</v>
      </c>
      <c r="G26" s="12">
        <f ca="1">[1]!ripe(G$17,[1]!juhe($T$7,6),$C26,0)</f>
        <v>11.646680260370703</v>
      </c>
      <c r="H26" s="12">
        <f ca="1">[1]!ripe(H$17,[1]!juhe($T$7,6),$C26,0)</f>
        <v>11.875168119946377</v>
      </c>
      <c r="I26" s="12">
        <f ca="1">[1]!ripe(I$17,[1]!juhe($T$7,6),$C26,0)</f>
        <v>12.102405858713931</v>
      </c>
      <c r="J26" s="12">
        <f ca="1">[1]!ripe(J$17,[1]!juhe($T$7,6),$C26,0)</f>
        <v>12.32830756899048</v>
      </c>
      <c r="K26" s="12">
        <f ca="1">[1]!ripe(K$17,[1]!juhe($T$7,6),$C26,0)</f>
        <v>12.552786273683324</v>
      </c>
      <c r="L26" s="12">
        <f ca="1">[1]!ripe(L$17,[1]!juhe($T$7,6),$C26,0)</f>
        <v>12.77577301598296</v>
      </c>
      <c r="M26" s="12">
        <f ca="1">[1]!ripe(M$17,[1]!juhe($T$7,6),$C26,0)</f>
        <v>12.997216397704836</v>
      </c>
      <c r="N26" s="12">
        <f ca="1">[1]!ripe(N$17,[1]!juhe($T$7,6),$C26,0)</f>
        <v>13.217081844637942</v>
      </c>
      <c r="O26" s="117"/>
      <c r="Q26" s="141" t="s">
        <v>201</v>
      </c>
      <c r="R26">
        <v>25</v>
      </c>
      <c r="S26"/>
      <c r="T26"/>
      <c r="U26"/>
      <c r="V26"/>
      <c r="W26"/>
      <c r="X26"/>
      <c r="Y26"/>
      <c r="Z26"/>
    </row>
    <row r="27" spans="1:29" x14ac:dyDescent="0.2">
      <c r="A27" s="108"/>
      <c r="B27" s="113" t="str">
        <f t="shared" ca="1" si="4"/>
        <v>114Y-115Y</v>
      </c>
      <c r="C27" s="106">
        <f t="shared" ca="1" si="5"/>
        <v>443.31750879030767</v>
      </c>
      <c r="D27" s="10" t="s">
        <v>31</v>
      </c>
      <c r="E27" s="12">
        <f ca="1">[1]!ripe(E$17,[1]!juhe($T$7,6),$C27,0)</f>
        <v>11.104782059943812</v>
      </c>
      <c r="F27" s="12">
        <f ca="1">[1]!ripe(F$17,[1]!juhe($T$7,6),$C27,0)</f>
        <v>11.333763539968837</v>
      </c>
      <c r="G27" s="12">
        <f ca="1">[1]!ripe(G$17,[1]!juhe($T$7,6),$C27,0)</f>
        <v>11.561719362401348</v>
      </c>
      <c r="H27" s="12">
        <f ca="1">[1]!ripe(H$17,[1]!juhe($T$7,6),$C27,0)</f>
        <v>11.788540435108088</v>
      </c>
      <c r="I27" s="12">
        <f ca="1">[1]!ripe(I$17,[1]!juhe($T$7,6),$C27,0)</f>
        <v>12.014120506462559</v>
      </c>
      <c r="J27" s="12">
        <f ca="1">[1]!ripe(J$17,[1]!juhe($T$7,6),$C27,0)</f>
        <v>12.238374295466365</v>
      </c>
      <c r="K27" s="12">
        <f ca="1">[1]!ripe(K$17,[1]!juhe($T$7,6),$C27,0)</f>
        <v>12.46121545951249</v>
      </c>
      <c r="L27" s="12">
        <f ca="1">[1]!ripe(L$17,[1]!juhe($T$7,6),$C27,0)</f>
        <v>12.682575544821679</v>
      </c>
      <c r="M27" s="12">
        <f ca="1">[1]!ripe(M$17,[1]!juhe($T$7,6),$C27,0)</f>
        <v>12.902403528151922</v>
      </c>
      <c r="N27" s="12">
        <f ca="1">[1]!ripe(N$17,[1]!juhe($T$7,6),$C27,0)</f>
        <v>13.120665087506227</v>
      </c>
      <c r="O27" s="117"/>
      <c r="Q27" s="141" t="s">
        <v>201</v>
      </c>
      <c r="R27">
        <v>26</v>
      </c>
      <c r="S27"/>
      <c r="T27"/>
      <c r="U27"/>
      <c r="V27"/>
      <c r="W27"/>
      <c r="X27"/>
      <c r="Y27"/>
      <c r="Z27"/>
    </row>
    <row r="28" spans="1:29" x14ac:dyDescent="0.2">
      <c r="A28" s="108"/>
      <c r="B28" s="113" t="str">
        <f ca="1">INDIRECT("Visangud!C" &amp; R28)</f>
        <v>115Y-116Y</v>
      </c>
      <c r="C28" s="106">
        <f ca="1">INDIRECT("Visangud!"&amp;Q28&amp;R28)</f>
        <v>443.02190566605429</v>
      </c>
      <c r="D28" s="10" t="s">
        <v>31</v>
      </c>
      <c r="E28" s="12">
        <f ca="1">[1]!ripe(E$17,[1]!juhe($T$7,6),$C28,0)</f>
        <v>11.089977709616676</v>
      </c>
      <c r="F28" s="12">
        <f ca="1">[1]!ripe(F$17,[1]!juhe($T$7,6),$C28,0)</f>
        <v>11.31865392277285</v>
      </c>
      <c r="G28" s="12">
        <f ca="1">[1]!ripe(G$17,[1]!juhe($T$7,6),$C28,0)</f>
        <v>11.546305845692864</v>
      </c>
      <c r="H28" s="12">
        <f ca="1">[1]!ripe(H$17,[1]!juhe($T$7,6),$C28,0)</f>
        <v>11.772824531679738</v>
      </c>
      <c r="I28" s="12">
        <f ca="1">[1]!ripe(I$17,[1]!juhe($T$7,6),$C28,0)</f>
        <v>11.998103870756429</v>
      </c>
      <c r="J28" s="12">
        <f ca="1">[1]!ripe(J$17,[1]!juhe($T$7,6),$C28,0)</f>
        <v>12.222058695616978</v>
      </c>
      <c r="K28" s="12">
        <f ca="1">[1]!ripe(K$17,[1]!juhe($T$7,6),$C28,0)</f>
        <v>12.444602778762096</v>
      </c>
      <c r="L28" s="12">
        <f ca="1">[1]!ripe(L$17,[1]!juhe($T$7,6),$C28,0)</f>
        <v>12.665667757671747</v>
      </c>
      <c r="M28" s="12">
        <f ca="1">[1]!ripe(M$17,[1]!juhe($T$7,6),$C28,0)</f>
        <v>12.885202677125601</v>
      </c>
      <c r="N28" s="12">
        <f ca="1">[1]!ripe(N$17,[1]!juhe($T$7,6),$C28,0)</f>
        <v>13.103173260883072</v>
      </c>
      <c r="O28" s="117"/>
      <c r="Q28" s="141" t="s">
        <v>201</v>
      </c>
      <c r="R28">
        <v>27</v>
      </c>
      <c r="S28"/>
      <c r="T28"/>
      <c r="U28"/>
      <c r="V28"/>
      <c r="W28"/>
      <c r="X28"/>
      <c r="Y28"/>
      <c r="Z28"/>
    </row>
    <row r="29" spans="1:29" x14ac:dyDescent="0.2">
      <c r="A29" s="108"/>
      <c r="B29" s="113" t="str">
        <f t="shared" ref="B29" ca="1" si="6">INDIRECT("Visangud!C" &amp; R29)</f>
        <v>116Y-117Y</v>
      </c>
      <c r="C29" s="106">
        <f t="shared" ref="C29" ca="1" si="7">INDIRECT("Visangud!"&amp;Q29&amp;R29)</f>
        <v>443.42023014286383</v>
      </c>
      <c r="D29" s="10" t="s">
        <v>31</v>
      </c>
      <c r="E29" s="12">
        <f ca="1">[1]!ripe(E$17,[1]!juhe($T$7,6),$C29,0)</f>
        <v>11.109928846914038</v>
      </c>
      <c r="F29" s="12">
        <f ca="1">[1]!ripe(F$17,[1]!juhe($T$7,6),$C29,0)</f>
        <v>11.339016454091443</v>
      </c>
      <c r="G29" s="12">
        <f ca="1">[1]!ripe(G$17,[1]!juhe($T$7,6),$C29,0)</f>
        <v>11.567077928309853</v>
      </c>
      <c r="H29" s="12">
        <f ca="1">[1]!ripe(H$17,[1]!juhe($T$7,6),$C29,0)</f>
        <v>11.794004126874562</v>
      </c>
      <c r="I29" s="12">
        <f ca="1">[1]!ripe(I$17,[1]!juhe($T$7,6),$C29,0)</f>
        <v>12.019688748914108</v>
      </c>
      <c r="J29" s="12">
        <f ca="1">[1]!ripe(J$17,[1]!juhe($T$7,6),$C29,0)</f>
        <v>12.244046473904504</v>
      </c>
      <c r="K29" s="12">
        <f ca="1">[1]!ripe(K$17,[1]!juhe($T$7,6),$C29,0)</f>
        <v>12.466990919221107</v>
      </c>
      <c r="L29" s="12">
        <f ca="1">[1]!ripe(L$17,[1]!juhe($T$7,6),$C29,0)</f>
        <v>12.688453599358061</v>
      </c>
      <c r="M29" s="12">
        <f ca="1">[1]!ripe(M$17,[1]!juhe($T$7,6),$C29,0)</f>
        <v>12.908383467425365</v>
      </c>
      <c r="N29" s="12">
        <f ca="1">[1]!ripe(N$17,[1]!juhe($T$7,6),$C29,0)</f>
        <v>13.126746185518646</v>
      </c>
      <c r="O29" s="117"/>
      <c r="Q29" s="141" t="s">
        <v>201</v>
      </c>
      <c r="R29">
        <v>28</v>
      </c>
      <c r="S29"/>
      <c r="T29"/>
      <c r="U29"/>
      <c r="V29"/>
      <c r="W29"/>
      <c r="X29"/>
      <c r="Y29"/>
      <c r="Z29"/>
    </row>
    <row r="30" spans="1:29" s="114" customFormat="1" hidden="1" x14ac:dyDescent="0.2">
      <c r="A30" s="187">
        <v>3</v>
      </c>
      <c r="B30" s="188" t="str">
        <f ca="1">R31</f>
        <v>117Y- 118Y</v>
      </c>
      <c r="C30" s="189">
        <f ca="1">S31</f>
        <v>440.31887592980098</v>
      </c>
      <c r="D30" s="118" t="s">
        <v>130</v>
      </c>
      <c r="E30" s="119">
        <f ca="1">[1]!Olekuvorrand($C30,$T31,$Y31,$X31,$W31,E$4,[1]!juhe($T31,6),TRUE)</f>
        <v>75.112879276275635</v>
      </c>
      <c r="F30" s="119">
        <f ca="1">[1]!Olekuvorrand($C30,$T31,$Y31,$X31,$W31,F$4,[1]!juhe($T31,6),TRUE)</f>
        <v>73.577225208282471</v>
      </c>
      <c r="G30" s="119">
        <f ca="1">[1]!Olekuvorrand($C30,$T31,$Y31,$X31,$W31,G$4,[1]!juhe($T31,6),TRUE)</f>
        <v>72.10928201675415</v>
      </c>
      <c r="H30" s="119">
        <f ca="1">[1]!Olekuvorrand($C30,$T31,$Y31,$X31,$W31,H$4,[1]!juhe($T31,6),TRUE)</f>
        <v>70.7053542137146</v>
      </c>
      <c r="I30" s="119">
        <f ca="1">[1]!Olekuvorrand($C30,$T31,$Y31,$X31,$W31,I$4,[1]!juhe($T31,6),TRUE)</f>
        <v>69.362342357635498</v>
      </c>
      <c r="J30" s="119">
        <f ca="1">[1]!Olekuvorrand($C30,$T31,$Y31,$X31,$W31,J$4,[1]!juhe($T31,6),TRUE)</f>
        <v>68.076670169830322</v>
      </c>
      <c r="K30" s="119">
        <f ca="1">[1]!Olekuvorrand($C30,$T31,$Y31,$X31,$W31,K$4,[1]!juhe($T31,6),TRUE)</f>
        <v>66.845357418060303</v>
      </c>
      <c r="L30" s="119">
        <f ca="1">[1]!Olekuvorrand($C30,$T31,$Y31,$X31,$W31,L$4,[1]!juhe($T31,6),TRUE)</f>
        <v>65.66542387008667</v>
      </c>
      <c r="M30" s="119">
        <f ca="1">[1]!Olekuvorrand($C30,$T31,$Y31,$X31,$W31,M$4,[1]!juhe($T31,6),TRUE)</f>
        <v>64.534127712249756</v>
      </c>
      <c r="N30" s="119">
        <f ca="1">[1]!Olekuvorrand($C30,$T31,$Y31,$X31,$W31,N$4,[1]!juhe($T31,6),TRUE)</f>
        <v>63.448846340179443</v>
      </c>
      <c r="O30" s="190">
        <f ca="1">U31</f>
        <v>65</v>
      </c>
      <c r="P30" s="221"/>
      <c r="Q30" s="142"/>
      <c r="R30"/>
      <c r="S30"/>
      <c r="T30"/>
      <c r="U30"/>
      <c r="V30"/>
      <c r="W30"/>
      <c r="X30"/>
      <c r="Y30"/>
      <c r="Z30"/>
    </row>
    <row r="31" spans="1:29" s="114" customFormat="1" x14ac:dyDescent="0.2">
      <c r="A31" s="187"/>
      <c r="B31" s="188"/>
      <c r="C31" s="189"/>
      <c r="D31" s="118" t="s">
        <v>32</v>
      </c>
      <c r="E31" s="119">
        <f ca="1">E30*[1]!juhe($T31,2)/10</f>
        <v>2109.4701015949245</v>
      </c>
      <c r="F31" s="119">
        <f ca="1">F30*[1]!juhe($T31,2)/10</f>
        <v>2066.3427927494045</v>
      </c>
      <c r="G31" s="119">
        <f ca="1">G30*[1]!juhe($T31,2)/10</f>
        <v>2025.1170761585236</v>
      </c>
      <c r="H31" s="119">
        <f ca="1">H30*[1]!juhe($T31,2)/10</f>
        <v>1985.6891677379608</v>
      </c>
      <c r="I31" s="119">
        <f ca="1">I30*[1]!juhe($T31,2)/10</f>
        <v>1947.9720227718353</v>
      </c>
      <c r="J31" s="119">
        <f ca="1">J30*[1]!juhe($T31,2)/10</f>
        <v>1911.8652050495148</v>
      </c>
      <c r="K31" s="119">
        <f ca="1">K30*[1]!juhe($T31,2)/10</f>
        <v>1877.2850177288055</v>
      </c>
      <c r="L31" s="119">
        <f ca="1">L30*[1]!juhe($T31,2)/10</f>
        <v>1844.147763967514</v>
      </c>
      <c r="M31" s="119">
        <f ca="1">M30*[1]!juhe($T31,2)/10</f>
        <v>1812.3764426708221</v>
      </c>
      <c r="N31" s="119">
        <f ca="1">N30*[1]!juhe($T31,2)/10</f>
        <v>1781.8974006175995</v>
      </c>
      <c r="O31" s="190"/>
      <c r="P31" s="221"/>
      <c r="Q31" s="142" t="s">
        <v>202</v>
      </c>
      <c r="R31" s="129" t="str">
        <f ca="1">INDIRECT("'"&amp;$S$1&amp;"'!"&amp;$Q31&amp;R$4)</f>
        <v>117Y- 118Y</v>
      </c>
      <c r="S31" s="129">
        <f ca="1">INDIRECT("'"&amp;$S$1&amp;"'!"&amp;$Q31&amp;S$4)</f>
        <v>440.31887592980098</v>
      </c>
      <c r="T31" s="129" t="str">
        <f ca="1">INDIRECT("'"&amp;$S$1&amp;"'!"&amp;$Q31&amp;T$4)</f>
        <v>242-Al1/39-ST1A Hawk</v>
      </c>
      <c r="U31" s="129">
        <f ca="1">INDIRECT("'"&amp;$S$1&amp;"'!"&amp;$Q31&amp;U$4)</f>
        <v>65</v>
      </c>
      <c r="V31" s="129">
        <f ca="1">INDIRECT("'"&amp;$S$1&amp;"'!"&amp;$Q31&amp;V$4)</f>
        <v>5</v>
      </c>
      <c r="W31" s="129">
        <f ca="1">INDIRECT("'"&amp;$S$1&amp;"'!"&amp;$Q31&amp;W$4)</f>
        <v>8.123213708040028E-2</v>
      </c>
      <c r="X31" s="129">
        <f ca="1">INDIRECT("'"&amp;$S$1&amp;"'!"&amp;$Q31&amp;X$4)</f>
        <v>-5</v>
      </c>
      <c r="Y31" s="129">
        <f ca="1">INDIRECT("'"&amp;$S$1&amp;"'!"&amp;$Q31&amp;Y$4)</f>
        <v>134.93841886520386</v>
      </c>
      <c r="Z31" s="129">
        <v>2</v>
      </c>
    </row>
    <row r="32" spans="1:29" s="114" customFormat="1" x14ac:dyDescent="0.2">
      <c r="A32" s="187"/>
      <c r="B32" s="188"/>
      <c r="C32" s="189"/>
      <c r="D32" s="118" t="str">
        <f>CONCATENATE(Z31,"T, [daN]")</f>
        <v>2T, [daN]</v>
      </c>
      <c r="E32" s="119">
        <f ca="1">E31*$Z31</f>
        <v>4218.9402031898489</v>
      </c>
      <c r="F32" s="119">
        <f t="shared" ref="F32:N32" ca="1" si="8">F31*$Z31</f>
        <v>4132.6855854988089</v>
      </c>
      <c r="G32" s="119">
        <f t="shared" ca="1" si="8"/>
        <v>4050.2341523170471</v>
      </c>
      <c r="H32" s="119">
        <f t="shared" ca="1" si="8"/>
        <v>3971.3783354759216</v>
      </c>
      <c r="I32" s="119">
        <f t="shared" ca="1" si="8"/>
        <v>3895.9440455436707</v>
      </c>
      <c r="J32" s="119">
        <f t="shared" ca="1" si="8"/>
        <v>3823.7304100990295</v>
      </c>
      <c r="K32" s="119">
        <f t="shared" ca="1" si="8"/>
        <v>3754.5700354576111</v>
      </c>
      <c r="L32" s="119">
        <f t="shared" ca="1" si="8"/>
        <v>3688.2955279350281</v>
      </c>
      <c r="M32" s="119">
        <f t="shared" ca="1" si="8"/>
        <v>3624.7528853416443</v>
      </c>
      <c r="N32" s="119">
        <f t="shared" ca="1" si="8"/>
        <v>3563.794801235199</v>
      </c>
      <c r="O32" s="190"/>
      <c r="P32" s="221"/>
      <c r="Q32" s="142" t="s">
        <v>202</v>
      </c>
      <c r="R32"/>
      <c r="S32"/>
      <c r="T32"/>
      <c r="U32"/>
      <c r="V32"/>
      <c r="W32"/>
      <c r="X32"/>
      <c r="Y32"/>
      <c r="Z32"/>
    </row>
    <row r="33" spans="1:29" s="114" customFormat="1" x14ac:dyDescent="0.2">
      <c r="A33" s="187"/>
      <c r="B33" s="188"/>
      <c r="C33" s="189"/>
      <c r="D33" s="118" t="s">
        <v>31</v>
      </c>
      <c r="E33" s="120">
        <f ca="1">[1]!ripe([1]!Olekuvorrand($C30,$T31,$Y31,$X31,$W31,E$4,[1]!juhe($T31,6),TRUE),[1]!juhe($T31,6),$C30,0)</f>
        <v>10.937798246253569</v>
      </c>
      <c r="F33" s="120">
        <f ca="1">[1]!ripe([1]!Olekuvorrand($C30,$T31,$Y31,$X31,$W31,F$4,[1]!juhe($T31,6),TRUE),[1]!juhe($T31,6),$C30,0)</f>
        <v>11.166084571596768</v>
      </c>
      <c r="G33" s="120">
        <f ca="1">[1]!ripe([1]!Olekuvorrand($C30,$T31,$Y31,$X31,$W31,G$4,[1]!juhe($T31,6),TRUE),[1]!juhe($T31,6),$C30,0)</f>
        <v>11.39339480634708</v>
      </c>
      <c r="H33" s="120">
        <f ca="1">[1]!ripe([1]!Olekuvorrand($C30,$T31,$Y31,$X31,$W31,H$4,[1]!juhe($T31,6),TRUE),[1]!juhe($T31,6),$C30,0)</f>
        <v>11.619622422593636</v>
      </c>
      <c r="I33" s="120">
        <f ca="1">[1]!ripe([1]!Olekuvorrand($C30,$T31,$Y31,$X31,$W31,I$4,[1]!juhe($T31,6),TRUE),[1]!juhe($T31,6),$C30,0)</f>
        <v>11.84460459802601</v>
      </c>
      <c r="J33" s="120">
        <f ca="1">[1]!ripe([1]!Olekuvorrand($C30,$T31,$Y31,$X31,$W31,J$4,[1]!juhe($T31,6),TRUE),[1]!juhe($T31,6),$C30,0)</f>
        <v>12.068297658647827</v>
      </c>
      <c r="K33" s="120">
        <f ca="1">[1]!ripe([1]!Olekuvorrand($C30,$T31,$Y31,$X31,$W31,K$4,[1]!juhe($T31,6),TRUE),[1]!juhe($T31,6),$C30,0)</f>
        <v>12.290599541279912</v>
      </c>
      <c r="L33" s="120">
        <f ca="1">[1]!ripe([1]!Olekuvorrand($C30,$T31,$Y31,$X31,$W31,L$4,[1]!juhe($T31,6),TRUE),[1]!juhe($T31,6),$C30,0)</f>
        <v>12.511447742186322</v>
      </c>
      <c r="M33" s="120">
        <f ca="1">[1]!ripe([1]!Olekuvorrand($C30,$T31,$Y31,$X31,$W31,M$4,[1]!juhe($T31,6),TRUE),[1]!juhe($T31,6),$C30,0)</f>
        <v>12.730775921887215</v>
      </c>
      <c r="N33" s="120">
        <f ca="1">[1]!ripe([1]!Olekuvorrand($C30,$T31,$Y31,$X31,$W31,N$4,[1]!juhe($T31,6),TRUE),[1]!juhe($T31,6),$C30,0)</f>
        <v>12.948533607912722</v>
      </c>
      <c r="O33" s="190"/>
      <c r="P33" s="221"/>
      <c r="Q33" s="142" t="s">
        <v>202</v>
      </c>
      <c r="R33"/>
      <c r="S33"/>
      <c r="T33"/>
      <c r="U33"/>
      <c r="V33"/>
      <c r="W33"/>
      <c r="X33"/>
      <c r="Y33"/>
      <c r="Z33"/>
    </row>
    <row r="34" spans="1:29" s="114" customFormat="1" x14ac:dyDescent="0.2">
      <c r="A34" s="187"/>
      <c r="B34" s="188"/>
      <c r="C34" s="189"/>
      <c r="D34" s="118" t="s">
        <v>195</v>
      </c>
      <c r="E34" s="120">
        <f ca="1">[1]!ripe([1]!Olekuvorrand($C30,$T31,$Y31,$X31,$W31,E$4,[1]!juhe($T31,6)),[1]!juhe($T31,6),$C30,0)</f>
        <v>11.470077334250131</v>
      </c>
      <c r="F34" s="120">
        <f ca="1">[1]!ripe([1]!Olekuvorrand($C30,$T31,$Y31,$X31,$W31,F$4,[1]!juhe($T31,6)),[1]!juhe($T31,6),$C30,0)</f>
        <v>11.707997029568077</v>
      </c>
      <c r="G34" s="120">
        <f ca="1">[1]!ripe([1]!Olekuvorrand($C30,$T31,$Y31,$X31,$W31,G$4,[1]!juhe($T31,6)),[1]!juhe($T31,6),$C30,0)</f>
        <v>11.94395736231046</v>
      </c>
      <c r="H34" s="120">
        <f ca="1">[1]!ripe([1]!Olekuvorrand($C30,$T31,$Y31,$X31,$W31,H$4,[1]!juhe($T31,6)),[1]!juhe($T31,6),$C30,0)</f>
        <v>12.177885481279075</v>
      </c>
      <c r="I34" s="120">
        <f ca="1">[1]!ripe([1]!Olekuvorrand($C30,$T31,$Y31,$X31,$W31,I$4,[1]!juhe($T31,6)),[1]!juhe($T31,6),$C30,0)</f>
        <v>12.409753106753289</v>
      </c>
      <c r="J34" s="120">
        <f ca="1">[1]!ripe([1]!Olekuvorrand($C30,$T31,$Y31,$X31,$W31,J$4,[1]!juhe($T31,6)),[1]!juhe($T31,6),$C30,0)</f>
        <v>12.639531528524541</v>
      </c>
      <c r="K34" s="120">
        <f ca="1">[1]!ripe([1]!Olekuvorrand($C30,$T31,$Y31,$X31,$W31,K$4,[1]!juhe($T31,6)),[1]!juhe($T31,6),$C30,0)</f>
        <v>12.86718409573624</v>
      </c>
      <c r="L34" s="120">
        <f ca="1">[1]!ripe([1]!Olekuvorrand($C30,$T31,$Y31,$X31,$W31,L$4,[1]!juhe($T31,6)),[1]!juhe($T31,6),$C30,0)</f>
        <v>13.092707813512556</v>
      </c>
      <c r="M34" s="120">
        <f ca="1">[1]!ripe([1]!Olekuvorrand($C30,$T31,$Y31,$X31,$W31,M$4,[1]!juhe($T31,6)),[1]!juhe($T31,6),$C30,0)</f>
        <v>13.316133163710347</v>
      </c>
      <c r="N34" s="120">
        <f ca="1">[1]!ripe([1]!Olekuvorrand($C30,$T31,$Y31,$X31,$W31,N$4,[1]!juhe($T31,6)),[1]!juhe($T31,6),$C30,0)</f>
        <v>13.537417201477382</v>
      </c>
      <c r="O34" s="190"/>
      <c r="P34" s="221"/>
      <c r="Q34" s="142" t="s">
        <v>202</v>
      </c>
      <c r="R34"/>
      <c r="S34"/>
      <c r="T34"/>
      <c r="U34"/>
      <c r="V34"/>
      <c r="W34"/>
      <c r="X34"/>
      <c r="Y34"/>
      <c r="Z34"/>
      <c r="AC34" s="121"/>
    </row>
    <row r="35" spans="1:29" x14ac:dyDescent="0.2">
      <c r="A35" s="105"/>
      <c r="B35" s="113" t="str">
        <f ca="1">INDIRECT("Visangud!C" &amp; R35)</f>
        <v>117Y-118Y</v>
      </c>
      <c r="C35" s="106">
        <f ca="1">INDIRECT("Visangud!"&amp;Q35&amp;R35)</f>
        <v>440.31887592980098</v>
      </c>
      <c r="D35" s="10" t="s">
        <v>31</v>
      </c>
      <c r="E35" s="12">
        <f ca="1">[1]!ripe(E$30,[1]!juhe($T$7,6),$C35,0)</f>
        <v>10.937798246253569</v>
      </c>
      <c r="F35" s="12">
        <f ca="1">[1]!ripe(F$30,[1]!juhe($T$7,6),$C35,0)</f>
        <v>11.166084571596768</v>
      </c>
      <c r="G35" s="12">
        <f ca="1">[1]!ripe(G$30,[1]!juhe($T$7,6),$C35,0)</f>
        <v>11.39339480634708</v>
      </c>
      <c r="H35" s="12">
        <f ca="1">[1]!ripe(H$30,[1]!juhe($T$7,6),$C35,0)</f>
        <v>11.619622422593636</v>
      </c>
      <c r="I35" s="12">
        <f ca="1">[1]!ripe(I$30,[1]!juhe($T$7,6),$C35,0)</f>
        <v>11.84460459802601</v>
      </c>
      <c r="J35" s="12">
        <f ca="1">[1]!ripe(J$30,[1]!juhe($T$7,6),$C35,0)</f>
        <v>12.068297658647827</v>
      </c>
      <c r="K35" s="12">
        <f ca="1">[1]!ripe(K$30,[1]!juhe($T$7,6),$C35,0)</f>
        <v>12.290599541279912</v>
      </c>
      <c r="L35" s="12">
        <f ca="1">[1]!ripe(L$30,[1]!juhe($T$7,6),$C35,0)</f>
        <v>12.511447742186322</v>
      </c>
      <c r="M35" s="12">
        <f ca="1">[1]!ripe(M$30,[1]!juhe($T$7,6),$C35,0)</f>
        <v>12.730775921887215</v>
      </c>
      <c r="N35" s="12">
        <f ca="1">[1]!ripe(N$30,[1]!juhe($T$7,6),$C35,0)</f>
        <v>12.948533607912722</v>
      </c>
      <c r="O35" s="107"/>
      <c r="Q35" s="142" t="s">
        <v>202</v>
      </c>
      <c r="R35">
        <v>29</v>
      </c>
      <c r="S35"/>
      <c r="T35"/>
      <c r="U35"/>
      <c r="V35"/>
      <c r="W35"/>
      <c r="X35"/>
      <c r="Y35"/>
      <c r="Z35"/>
      <c r="AC35" s="11"/>
    </row>
    <row r="36" spans="1:29" s="114" customFormat="1" hidden="1" x14ac:dyDescent="0.2">
      <c r="A36" s="187">
        <v>4</v>
      </c>
      <c r="B36" s="188" t="str">
        <f ca="1">R37</f>
        <v>118Y- 121Y</v>
      </c>
      <c r="C36" s="189">
        <f ca="1">S37</f>
        <v>352.77649774332502</v>
      </c>
      <c r="D36" s="118" t="s">
        <v>130</v>
      </c>
      <c r="E36" s="119">
        <f ca="1">[1]!Olekuvorrand($C36,$T37,$Y37,$X37,$W37,E$4,[1]!juhe($T37,6),TRUE)</f>
        <v>79.290330410003662</v>
      </c>
      <c r="F36" s="119">
        <f ca="1">[1]!Olekuvorrand($C36,$T37,$Y37,$X37,$W37,F$4,[1]!juhe($T37,6),TRUE)</f>
        <v>77.009379863739014</v>
      </c>
      <c r="G36" s="119">
        <f ca="1">[1]!Olekuvorrand($C36,$T37,$Y37,$X37,$W37,G$4,[1]!juhe($T37,6),TRUE)</f>
        <v>74.845612049102783</v>
      </c>
      <c r="H36" s="119">
        <f ca="1">[1]!Olekuvorrand($C36,$T37,$Y37,$X37,$W37,H$4,[1]!juhe($T37,6),TRUE)</f>
        <v>72.794020175933838</v>
      </c>
      <c r="I36" s="119">
        <f ca="1">[1]!Olekuvorrand($C36,$T37,$Y37,$X37,$W37,I$4,[1]!juhe($T37,6),TRUE)</f>
        <v>70.849239826202393</v>
      </c>
      <c r="J36" s="119">
        <f ca="1">[1]!Olekuvorrand($C36,$T37,$Y37,$X37,$W37,J$4,[1]!juhe($T37,6),TRUE)</f>
        <v>69.005906581878662</v>
      </c>
      <c r="K36" s="119">
        <f ca="1">[1]!Olekuvorrand($C36,$T37,$Y37,$X37,$W37,K$4,[1]!juhe($T37,6),TRUE)</f>
        <v>67.258298397064209</v>
      </c>
      <c r="L36" s="119">
        <f ca="1">[1]!Olekuvorrand($C36,$T37,$Y37,$X37,$W37,L$4,[1]!juhe($T37,6),TRUE)</f>
        <v>65.6014084815979</v>
      </c>
      <c r="M36" s="119">
        <f ca="1">[1]!Olekuvorrand($C36,$T37,$Y37,$X37,$W37,M$4,[1]!juhe($T37,6),TRUE)</f>
        <v>64.029872417449951</v>
      </c>
      <c r="N36" s="119">
        <f ca="1">[1]!Olekuvorrand($C36,$T37,$Y37,$X37,$W37,N$4,[1]!juhe($T37,6),TRUE)</f>
        <v>62.538683414459229</v>
      </c>
      <c r="O36" s="190">
        <f ca="1">U37</f>
        <v>65</v>
      </c>
      <c r="P36" s="221"/>
      <c r="Q36" s="142"/>
      <c r="R36"/>
      <c r="S36"/>
      <c r="T36"/>
      <c r="U36"/>
      <c r="V36"/>
      <c r="W36"/>
      <c r="X36"/>
      <c r="Y36"/>
      <c r="Z36"/>
    </row>
    <row r="37" spans="1:29" s="114" customFormat="1" x14ac:dyDescent="0.2">
      <c r="A37" s="187"/>
      <c r="B37" s="188"/>
      <c r="C37" s="189"/>
      <c r="D37" s="118" t="s">
        <v>32</v>
      </c>
      <c r="E37" s="119">
        <f ca="1">E36*[1]!juhe($T37,2)/10</f>
        <v>2226.7896392345424</v>
      </c>
      <c r="F37" s="119">
        <f ca="1">F36*[1]!juhe($T37,2)/10</f>
        <v>2162.731424093246</v>
      </c>
      <c r="G37" s="119">
        <f ca="1">G36*[1]!juhe($T37,2)/10</f>
        <v>2101.9641687870021</v>
      </c>
      <c r="H37" s="119">
        <f ca="1">H36*[1]!juhe($T37,2)/10</f>
        <v>2044.3472626209254</v>
      </c>
      <c r="I37" s="119">
        <f ca="1">I36*[1]!juhe($T37,2)/10</f>
        <v>1989.730051279068</v>
      </c>
      <c r="J37" s="119">
        <f ca="1">J36*[1]!juhe($T37,2)/10</f>
        <v>1937.9618804454803</v>
      </c>
      <c r="K37" s="119">
        <f ca="1">K36*[1]!juhe($T37,2)/10</f>
        <v>1888.8820521831512</v>
      </c>
      <c r="L37" s="119">
        <f ca="1">L36*[1]!juhe($T37,2)/10</f>
        <v>1842.3499557971954</v>
      </c>
      <c r="M37" s="119">
        <f ca="1">M36*[1]!juhe($T37,2)/10</f>
        <v>1798.2149369716644</v>
      </c>
      <c r="N37" s="119">
        <f ca="1">N36*[1]!juhe($T37,2)/10</f>
        <v>1756.336385011673</v>
      </c>
      <c r="O37" s="190"/>
      <c r="P37" s="221"/>
      <c r="Q37" s="142" t="s">
        <v>203</v>
      </c>
      <c r="R37" s="129" t="str">
        <f ca="1">INDIRECT("'"&amp;$S$1&amp;"'!"&amp;$Q37&amp;R$4)</f>
        <v>118Y- 121Y</v>
      </c>
      <c r="S37" s="129">
        <f ca="1">INDIRECT("'"&amp;$S$1&amp;"'!"&amp;$Q37&amp;S$4)</f>
        <v>352.77649774332502</v>
      </c>
      <c r="T37" s="129" t="str">
        <f ca="1">INDIRECT("'"&amp;$S$1&amp;"'!"&amp;$Q37&amp;T$4)</f>
        <v>242-Al1/39-ST1A Hawk</v>
      </c>
      <c r="U37" s="129">
        <f ca="1">INDIRECT("'"&amp;$S$1&amp;"'!"&amp;$Q37&amp;U$4)</f>
        <v>65</v>
      </c>
      <c r="V37" s="129">
        <f ca="1">INDIRECT("'"&amp;$S$1&amp;"'!"&amp;$Q37&amp;V$4)</f>
        <v>5</v>
      </c>
      <c r="W37" s="129">
        <f ca="1">INDIRECT("'"&amp;$S$1&amp;"'!"&amp;$Q37&amp;W$4)</f>
        <v>8.1663754643774275E-2</v>
      </c>
      <c r="X37" s="129">
        <f ca="1">INDIRECT("'"&amp;$S$1&amp;"'!"&amp;$Q37&amp;X$4)</f>
        <v>-5</v>
      </c>
      <c r="Y37" s="129">
        <f ca="1">INDIRECT("'"&amp;$S$1&amp;"'!"&amp;$Q37&amp;Y$4)</f>
        <v>129.34345006942749</v>
      </c>
      <c r="Z37" s="129">
        <v>2</v>
      </c>
    </row>
    <row r="38" spans="1:29" s="114" customFormat="1" x14ac:dyDescent="0.2">
      <c r="A38" s="187"/>
      <c r="B38" s="188"/>
      <c r="C38" s="189"/>
      <c r="D38" s="118" t="str">
        <f>CONCATENATE(Z37,"T, [daN]")</f>
        <v>2T, [daN]</v>
      </c>
      <c r="E38" s="119">
        <f ca="1">E37*$Z37</f>
        <v>4453.5792784690848</v>
      </c>
      <c r="F38" s="119">
        <f t="shared" ref="F38:N38" ca="1" si="9">F37*$Z37</f>
        <v>4325.462848186492</v>
      </c>
      <c r="G38" s="119">
        <f t="shared" ca="1" si="9"/>
        <v>4203.9283375740042</v>
      </c>
      <c r="H38" s="119">
        <f t="shared" ca="1" si="9"/>
        <v>4088.6945252418509</v>
      </c>
      <c r="I38" s="119">
        <f t="shared" ca="1" si="9"/>
        <v>3979.460102558136</v>
      </c>
      <c r="J38" s="119">
        <f t="shared" ca="1" si="9"/>
        <v>3875.9237608909607</v>
      </c>
      <c r="K38" s="119">
        <f t="shared" ca="1" si="9"/>
        <v>3777.7641043663025</v>
      </c>
      <c r="L38" s="119">
        <f t="shared" ca="1" si="9"/>
        <v>3684.6999115943909</v>
      </c>
      <c r="M38" s="119">
        <f t="shared" ca="1" si="9"/>
        <v>3596.4298739433289</v>
      </c>
      <c r="N38" s="119">
        <f t="shared" ca="1" si="9"/>
        <v>3512.6727700233459</v>
      </c>
      <c r="O38" s="190"/>
      <c r="P38" s="221"/>
      <c r="Q38" s="142" t="s">
        <v>203</v>
      </c>
      <c r="R38"/>
      <c r="S38"/>
      <c r="T38"/>
      <c r="U38"/>
      <c r="V38"/>
      <c r="W38"/>
      <c r="X38"/>
      <c r="Y38"/>
      <c r="Z38"/>
    </row>
    <row r="39" spans="1:29" s="114" customFormat="1" x14ac:dyDescent="0.2">
      <c r="A39" s="187"/>
      <c r="B39" s="188"/>
      <c r="C39" s="189"/>
      <c r="D39" s="118" t="s">
        <v>31</v>
      </c>
      <c r="E39" s="120">
        <f ca="1">[1]!ripe([1]!Olekuvorrand($C36,$T37,$Y37,$X37,$W37,E$4,[1]!juhe($T37,6),TRUE),[1]!juhe($T37,6),$C36,0)</f>
        <v>6.6510279416954123</v>
      </c>
      <c r="F39" s="120">
        <f ca="1">[1]!ripe([1]!Olekuvorrand($C36,$T37,$Y37,$X37,$W37,F$4,[1]!juhe($T37,6),TRUE),[1]!juhe($T37,6),$C36,0)</f>
        <v>6.8480255781349557</v>
      </c>
      <c r="G39" s="120">
        <f ca="1">[1]!ripe([1]!Olekuvorrand($C36,$T37,$Y37,$X37,$W37,G$4,[1]!juhe($T37,6),TRUE),[1]!juhe($T37,6),$C36,0)</f>
        <v>7.046000274768514</v>
      </c>
      <c r="H39" s="120">
        <f ca="1">[1]!ripe([1]!Olekuvorrand($C36,$T37,$Y37,$X37,$W37,H$4,[1]!juhe($T37,6),TRUE),[1]!juhe($T37,6),$C36,0)</f>
        <v>7.2445813789186086</v>
      </c>
      <c r="I39" s="120">
        <f ca="1">[1]!ripe([1]!Olekuvorrand($C36,$T37,$Y37,$X37,$W37,I$4,[1]!juhe($T37,6),TRUE),[1]!juhe($T37,6),$C36,0)</f>
        <v>7.4434419389233843</v>
      </c>
      <c r="J39" s="120">
        <f ca="1">[1]!ripe([1]!Olekuvorrand($C36,$T37,$Y37,$X37,$W37,J$4,[1]!juhe($T37,6),TRUE),[1]!juhe($T37,6),$C36,0)</f>
        <v>7.6422762801827178</v>
      </c>
      <c r="K39" s="120">
        <f ca="1">[1]!ripe([1]!Olekuvorrand($C36,$T37,$Y37,$X37,$W37,K$4,[1]!juhe($T37,6),TRUE),[1]!juhe($T37,6),$C36,0)</f>
        <v>7.8408496145691204</v>
      </c>
      <c r="L39" s="120">
        <f ca="1">[1]!ripe([1]!Olekuvorrand($C36,$T37,$Y37,$X37,$W37,L$4,[1]!juhe($T37,6),TRUE),[1]!juhe($T37,6),$C36,0)</f>
        <v>8.0388853725774521</v>
      </c>
      <c r="M39" s="120">
        <f ca="1">[1]!ripe([1]!Olekuvorrand($C36,$T37,$Y37,$X37,$W37,M$4,[1]!juhe($T37,6),TRUE),[1]!juhe($T37,6),$C36,0)</f>
        <v>8.2361901273986398</v>
      </c>
      <c r="N39" s="120">
        <f ca="1">[1]!ripe([1]!Olekuvorrand($C36,$T37,$Y37,$X37,$W37,N$4,[1]!juhe($T37,6),TRUE),[1]!juhe($T37,6),$C36,0)</f>
        <v>8.4325760356711843</v>
      </c>
      <c r="O39" s="190"/>
      <c r="P39" s="221"/>
      <c r="Q39" s="142" t="s">
        <v>203</v>
      </c>
      <c r="R39"/>
      <c r="S39"/>
      <c r="T39"/>
      <c r="U39"/>
      <c r="V39"/>
      <c r="W39"/>
      <c r="X39"/>
      <c r="Y39"/>
      <c r="Z39"/>
    </row>
    <row r="40" spans="1:29" s="114" customFormat="1" x14ac:dyDescent="0.2">
      <c r="A40" s="187"/>
      <c r="B40" s="188"/>
      <c r="C40" s="189"/>
      <c r="D40" s="118" t="s">
        <v>195</v>
      </c>
      <c r="E40" s="120">
        <f ca="1">[1]!ripe([1]!Olekuvorrand($C36,$T37,$Y37,$X37,$W37,E$4,[1]!juhe($T37,6)),[1]!juhe($T37,6),$C36,0)</f>
        <v>7.0487620715172516</v>
      </c>
      <c r="F40" s="120">
        <f ca="1">[1]!ripe([1]!Olekuvorrand($C36,$T37,$Y37,$X37,$W37,F$4,[1]!juhe($T37,6)),[1]!juhe($T37,6),$C36,0)</f>
        <v>7.2635896436021277</v>
      </c>
      <c r="G40" s="120">
        <f ca="1">[1]!ripe([1]!Olekuvorrand($C36,$T37,$Y37,$X37,$W37,G$4,[1]!juhe($T37,6)),[1]!juhe($T37,6),$C36,0)</f>
        <v>7.4777401227915608</v>
      </c>
      <c r="H40" s="120">
        <f ca="1">[1]!ripe([1]!Olekuvorrand($C36,$T37,$Y37,$X37,$W37,H$4,[1]!juhe($T37,6)),[1]!juhe($T37,6),$C36,0)</f>
        <v>7.6908904494202472</v>
      </c>
      <c r="I40" s="120">
        <f ca="1">[1]!ripe([1]!Olekuvorrand($C36,$T37,$Y37,$X37,$W37,I$4,[1]!juhe($T37,6)),[1]!juhe($T37,6),$C36,0)</f>
        <v>7.9028026083680096</v>
      </c>
      <c r="J40" s="120">
        <f ca="1">[1]!ripe([1]!Olekuvorrand($C36,$T37,$Y37,$X37,$W37,J$4,[1]!juhe($T37,6)),[1]!juhe($T37,6),$C36,0)</f>
        <v>8.1132649601034892</v>
      </c>
      <c r="K40" s="120">
        <f ca="1">[1]!ripe([1]!Olekuvorrand($C36,$T37,$Y37,$X37,$W37,K$4,[1]!juhe($T37,6)),[1]!juhe($T37,6),$C36,0)</f>
        <v>8.3220881160574862</v>
      </c>
      <c r="L40" s="120">
        <f ca="1">[1]!ripe([1]!Olekuvorrand($C36,$T37,$Y37,$X37,$W37,L$4,[1]!juhe($T37,6)),[1]!juhe($T37,6),$C36,0)</f>
        <v>8.5291320946868279</v>
      </c>
      <c r="M40" s="120">
        <f ca="1">[1]!ripe([1]!Olekuvorrand($C36,$T37,$Y37,$X37,$W37,M$4,[1]!juhe($T37,6)),[1]!juhe($T37,6),$C36,0)</f>
        <v>8.7342897754519555</v>
      </c>
      <c r="N40" s="120">
        <f ca="1">[1]!ripe([1]!Olekuvorrand($C36,$T37,$Y37,$X37,$W37,N$4,[1]!juhe($T37,6)),[1]!juhe($T37,6),$C36,0)</f>
        <v>8.9374642947969232</v>
      </c>
      <c r="O40" s="190"/>
      <c r="P40" s="221"/>
      <c r="Q40" s="142" t="s">
        <v>203</v>
      </c>
      <c r="R40"/>
      <c r="S40"/>
      <c r="T40"/>
      <c r="U40"/>
      <c r="V40"/>
      <c r="W40"/>
      <c r="X40"/>
      <c r="Y40"/>
      <c r="Z40"/>
      <c r="AC40" s="121"/>
    </row>
    <row r="41" spans="1:29" x14ac:dyDescent="0.2">
      <c r="A41" s="105"/>
      <c r="B41" s="113" t="str">
        <f ca="1">INDIRECT("Visangud!C" &amp; R41)</f>
        <v>118Y-119Y</v>
      </c>
      <c r="C41" s="106">
        <f ca="1">INDIRECT("Visangud!"&amp;Q41&amp;R41)</f>
        <v>350.00766405881359</v>
      </c>
      <c r="D41" s="10" t="s">
        <v>31</v>
      </c>
      <c r="E41" s="12">
        <f ca="1">[1]!ripe(E$36,[1]!juhe($T$7,6),$C41,0)</f>
        <v>6.5470339331296685</v>
      </c>
      <c r="F41" s="12">
        <f ca="1">[1]!ripe(F$36,[1]!juhe($T$7,6),$C41,0)</f>
        <v>6.7409513578980365</v>
      </c>
      <c r="G41" s="12">
        <f ca="1">[1]!ripe(G$36,[1]!juhe($T$7,6),$C41,0)</f>
        <v>6.9358305657623411</v>
      </c>
      <c r="H41" s="12">
        <f ca="1">[1]!ripe(H$36,[1]!juhe($T$7,6),$C41,0)</f>
        <v>7.1313066994887642</v>
      </c>
      <c r="I41" s="12">
        <f ca="1">[1]!ripe(I$36,[1]!juhe($T$7,6),$C41,0)</f>
        <v>7.3270579195596506</v>
      </c>
      <c r="J41" s="12">
        <f ca="1">[1]!ripe(J$36,[1]!juhe($T$7,6),$C41,0)</f>
        <v>7.522783330835626</v>
      </c>
      <c r="K41" s="12">
        <f ca="1">[1]!ripe(K$36,[1]!juhe($T$7,6),$C41,0)</f>
        <v>7.7182518162846714</v>
      </c>
      <c r="L41" s="12">
        <f ca="1">[1]!ripe(L$36,[1]!juhe($T$7,6),$C41,0)</f>
        <v>7.913191130781537</v>
      </c>
      <c r="M41" s="12">
        <f ca="1">[1]!ripe(M$36,[1]!juhe($T$7,6),$C41,0)</f>
        <v>8.1074108718961515</v>
      </c>
      <c r="N41" s="12">
        <f ca="1">[1]!ripe(N$36,[1]!juhe($T$7,6),$C41,0)</f>
        <v>8.3007261333444564</v>
      </c>
      <c r="O41" s="107"/>
      <c r="Q41" s="142" t="s">
        <v>203</v>
      </c>
      <c r="R41">
        <v>30</v>
      </c>
      <c r="S41"/>
      <c r="T41"/>
      <c r="U41"/>
      <c r="V41"/>
      <c r="W41"/>
      <c r="X41"/>
      <c r="Y41"/>
      <c r="Z41"/>
      <c r="AC41" s="11"/>
    </row>
    <row r="42" spans="1:29" x14ac:dyDescent="0.2">
      <c r="A42" s="108"/>
      <c r="B42" s="113" t="str">
        <f t="shared" ref="B42:B43" ca="1" si="10">INDIRECT("Visangud!C" &amp; R42)</f>
        <v>119Y-120Y</v>
      </c>
      <c r="C42" s="106">
        <f t="shared" ref="C42:C43" ca="1" si="11">INDIRECT("Visangud!"&amp;Q42&amp;R42)</f>
        <v>354.20859631022307</v>
      </c>
      <c r="D42" s="10" t="s">
        <v>31</v>
      </c>
      <c r="E42" s="12">
        <f ca="1">[1]!ripe(E$36,[1]!juhe($T$7,6),$C42,0)</f>
        <v>6.7051373333276238</v>
      </c>
      <c r="F42" s="12">
        <f ca="1">[1]!ripe(F$36,[1]!juhe($T$7,6),$C42,0)</f>
        <v>6.9037376426703903</v>
      </c>
      <c r="G42" s="12">
        <f ca="1">[1]!ripe(G$36,[1]!juhe($T$7,6),$C42,0)</f>
        <v>7.1033229610735926</v>
      </c>
      <c r="H42" s="12">
        <f ca="1">[1]!ripe(H$36,[1]!juhe($T$7,6),$C42,0)</f>
        <v>7.3035196204174726</v>
      </c>
      <c r="I42" s="12">
        <f ca="1">[1]!ripe(I$36,[1]!juhe($T$7,6),$C42,0)</f>
        <v>7.5039980091271987</v>
      </c>
      <c r="J42" s="12">
        <f ca="1">[1]!ripe(J$36,[1]!juhe($T$7,6),$C42,0)</f>
        <v>7.7044499657890606</v>
      </c>
      <c r="K42" s="12">
        <f ca="1">[1]!ripe(K$36,[1]!juhe($T$7,6),$C42,0)</f>
        <v>7.9046387921583898</v>
      </c>
      <c r="L42" s="12">
        <f ca="1">[1]!ripe(L$36,[1]!juhe($T$7,6),$C42,0)</f>
        <v>8.1042856687007578</v>
      </c>
      <c r="M42" s="12">
        <f ca="1">[1]!ripe(M$36,[1]!juhe($T$7,6),$C42,0)</f>
        <v>8.3031955949846274</v>
      </c>
      <c r="N42" s="12">
        <f ca="1">[1]!ripe(N$36,[1]!juhe($T$7,6),$C42,0)</f>
        <v>8.5011791994501387</v>
      </c>
      <c r="O42" s="117"/>
      <c r="Q42" s="142" t="s">
        <v>203</v>
      </c>
      <c r="R42">
        <v>31</v>
      </c>
      <c r="S42"/>
      <c r="T42"/>
      <c r="U42"/>
      <c r="V42"/>
      <c r="W42"/>
      <c r="X42"/>
      <c r="Y42"/>
      <c r="Z42"/>
    </row>
    <row r="43" spans="1:29" x14ac:dyDescent="0.2">
      <c r="A43" s="108"/>
      <c r="B43" s="113" t="str">
        <f t="shared" ca="1" si="10"/>
        <v>120Y-121Y</v>
      </c>
      <c r="C43" s="106">
        <f t="shared" ca="1" si="11"/>
        <v>354.06492130690555</v>
      </c>
      <c r="D43" s="10" t="s">
        <v>31</v>
      </c>
      <c r="E43" s="12">
        <f ca="1">[1]!ripe(E$36,[1]!juhe($T$7,6),$C43,0)</f>
        <v>6.6996989263649827</v>
      </c>
      <c r="F43" s="12">
        <f ca="1">[1]!ripe(F$36,[1]!juhe($T$7,6),$C43,0)</f>
        <v>6.8981381548452072</v>
      </c>
      <c r="G43" s="12">
        <f ca="1">[1]!ripe(G$36,[1]!juhe($T$7,6),$C43,0)</f>
        <v>7.097561593464107</v>
      </c>
      <c r="H43" s="12">
        <f ca="1">[1]!ripe(H$36,[1]!juhe($T$7,6),$C43,0)</f>
        <v>7.2975958771768923</v>
      </c>
      <c r="I43" s="12">
        <f ca="1">[1]!ripe(I$36,[1]!juhe($T$7,6),$C43,0)</f>
        <v>7.4979116617502939</v>
      </c>
      <c r="J43" s="12">
        <f ca="1">[1]!ripe(J$36,[1]!juhe($T$7,6),$C43,0)</f>
        <v>7.6982010357143542</v>
      </c>
      <c r="K43" s="12">
        <f ca="1">[1]!ripe(K$36,[1]!juhe($T$7,6),$C43,0)</f>
        <v>7.8982274928057628</v>
      </c>
      <c r="L43" s="12">
        <f ca="1">[1]!ripe(L$36,[1]!juhe($T$7,6),$C43,0)</f>
        <v>8.0977124396352131</v>
      </c>
      <c r="M43" s="12">
        <f ca="1">[1]!ripe(M$36,[1]!juhe($T$7,6),$C43,0)</f>
        <v>8.2964610339322409</v>
      </c>
      <c r="N43" s="12">
        <f ca="1">[1]!ripe(N$36,[1]!juhe($T$7,6),$C43,0)</f>
        <v>8.4942840577325853</v>
      </c>
      <c r="O43" s="117"/>
      <c r="Q43" s="142" t="s">
        <v>203</v>
      </c>
      <c r="R43">
        <v>32</v>
      </c>
      <c r="S43"/>
      <c r="T43"/>
      <c r="U43"/>
      <c r="V43"/>
      <c r="W43"/>
      <c r="X43"/>
      <c r="Y43"/>
      <c r="Z43"/>
    </row>
    <row r="44" spans="1:29" s="114" customFormat="1" hidden="1" x14ac:dyDescent="0.2">
      <c r="A44" s="187">
        <v>5</v>
      </c>
      <c r="B44" s="188" t="str">
        <f ca="1">R45</f>
        <v>121Y- 126Y</v>
      </c>
      <c r="C44" s="189">
        <f ca="1">S45</f>
        <v>429.81699666990465</v>
      </c>
      <c r="D44" s="118" t="s">
        <v>130</v>
      </c>
      <c r="E44" s="119">
        <f ca="1">[1]!Olekuvorrand($C44,$T45,$Y45,$X45,$W45,E$4,[1]!juhe($T45,6),TRUE)</f>
        <v>75.526416301727295</v>
      </c>
      <c r="F44" s="119">
        <f ca="1">[1]!Olekuvorrand($C44,$T45,$Y45,$X45,$W45,F$4,[1]!juhe($T45,6),TRUE)</f>
        <v>73.918521404266357</v>
      </c>
      <c r="G44" s="119">
        <f ca="1">[1]!Olekuvorrand($C44,$T45,$Y45,$X45,$W45,G$4,[1]!juhe($T45,6),TRUE)</f>
        <v>72.383105754852295</v>
      </c>
      <c r="H44" s="119">
        <f ca="1">[1]!Olekuvorrand($C44,$T45,$Y45,$X45,$W45,H$4,[1]!juhe($T45,6),TRUE)</f>
        <v>70.916593074798584</v>
      </c>
      <c r="I44" s="119">
        <f ca="1">[1]!Olekuvorrand($C44,$T45,$Y45,$X45,$W45,I$4,[1]!juhe($T45,6),TRUE)</f>
        <v>69.515049457550049</v>
      </c>
      <c r="J44" s="119">
        <f ca="1">[1]!Olekuvorrand($C44,$T45,$Y45,$X45,$W45,J$4,[1]!juhe($T45,6),TRUE)</f>
        <v>68.175137042999268</v>
      </c>
      <c r="K44" s="119">
        <f ca="1">[1]!Olekuvorrand($C44,$T45,$Y45,$X45,$W45,K$4,[1]!juhe($T45,6),TRUE)</f>
        <v>66.893279552459717</v>
      </c>
      <c r="L44" s="119">
        <f ca="1">[1]!Olekuvorrand($C44,$T45,$Y45,$X45,$W45,L$4,[1]!juhe($T45,6),TRUE)</f>
        <v>65.666615962982178</v>
      </c>
      <c r="M44" s="119">
        <f ca="1">[1]!Olekuvorrand($C44,$T45,$Y45,$X45,$W45,M$4,[1]!juhe($T45,6),TRUE)</f>
        <v>64.491808414459229</v>
      </c>
      <c r="N44" s="119">
        <f ca="1">[1]!Olekuvorrand($C44,$T45,$Y45,$X45,$W45,N$4,[1]!juhe($T45,6),TRUE)</f>
        <v>63.366115093231201</v>
      </c>
      <c r="O44" s="190">
        <f ca="1">U45</f>
        <v>65</v>
      </c>
      <c r="P44" s="221"/>
      <c r="Q44" s="142"/>
      <c r="R44"/>
      <c r="S44"/>
      <c r="T44"/>
      <c r="U44"/>
      <c r="V44"/>
      <c r="W44"/>
      <c r="X44"/>
      <c r="Y44"/>
      <c r="Z44"/>
    </row>
    <row r="45" spans="1:29" s="114" customFormat="1" x14ac:dyDescent="0.2">
      <c r="A45" s="187"/>
      <c r="B45" s="188"/>
      <c r="C45" s="189"/>
      <c r="D45" s="118" t="s">
        <v>32</v>
      </c>
      <c r="E45" s="119">
        <f ca="1">E44*[1]!juhe($T45,2)/10</f>
        <v>2121.0838754177089</v>
      </c>
      <c r="F45" s="119">
        <f ca="1">F44*[1]!juhe($T45,2)/10</f>
        <v>2075.9277551174159</v>
      </c>
      <c r="G45" s="119">
        <f ca="1">G44*[1]!juhe($T45,2)/10</f>
        <v>2032.8071420192719</v>
      </c>
      <c r="H45" s="119">
        <f ca="1">H44*[1]!juhe($T45,2)/10</f>
        <v>1991.6215999126434</v>
      </c>
      <c r="I45" s="119">
        <f ca="1">I44*[1]!juhe($T45,2)/10</f>
        <v>1952.2606489658356</v>
      </c>
      <c r="J45" s="119">
        <f ca="1">J44*[1]!juhe($T45,2)/10</f>
        <v>1914.6305487155914</v>
      </c>
      <c r="K45" s="119">
        <f ca="1">K44*[1]!juhe($T45,2)/10</f>
        <v>1878.6308629512787</v>
      </c>
      <c r="L45" s="119">
        <f ca="1">L44*[1]!juhe($T45,2)/10</f>
        <v>1844.1812427043915</v>
      </c>
      <c r="M45" s="119">
        <f ca="1">M44*[1]!juhe($T45,2)/10</f>
        <v>1811.187947511673</v>
      </c>
      <c r="N45" s="119">
        <f ca="1">N44*[1]!juhe($T45,2)/10</f>
        <v>1779.5739762783051</v>
      </c>
      <c r="O45" s="190"/>
      <c r="P45" s="221"/>
      <c r="Q45" s="142" t="s">
        <v>204</v>
      </c>
      <c r="R45" s="129" t="str">
        <f ca="1">INDIRECT("'"&amp;$S$1&amp;"'!"&amp;$Q45&amp;R$4)</f>
        <v>121Y- 126Y</v>
      </c>
      <c r="S45" s="129">
        <f ca="1">INDIRECT("'"&amp;$S$1&amp;"'!"&amp;$Q45&amp;S$4)</f>
        <v>429.81699666990465</v>
      </c>
      <c r="T45" s="129" t="str">
        <f ca="1">INDIRECT("'"&amp;$S$1&amp;"'!"&amp;$Q45&amp;T$4)</f>
        <v>242-Al1/39-ST1A Hawk</v>
      </c>
      <c r="U45" s="129">
        <f ca="1">INDIRECT("'"&amp;$S$1&amp;"'!"&amp;$Q45&amp;U$4)</f>
        <v>65</v>
      </c>
      <c r="V45" s="129">
        <f ca="1">INDIRECT("'"&amp;$S$1&amp;"'!"&amp;$Q45&amp;V$4)</f>
        <v>5</v>
      </c>
      <c r="W45" s="129">
        <f ca="1">INDIRECT("'"&amp;$S$1&amp;"'!"&amp;$Q45&amp;W$4)</f>
        <v>8.1278781227371075E-2</v>
      </c>
      <c r="X45" s="129">
        <f ca="1">INDIRECT("'"&amp;$S$1&amp;"'!"&amp;$Q45&amp;X$4)</f>
        <v>-5</v>
      </c>
      <c r="Y45" s="129">
        <f ca="1">INDIRECT("'"&amp;$S$1&amp;"'!"&amp;$Q45&amp;Y$4)</f>
        <v>134.36895608901978</v>
      </c>
      <c r="Z45" s="129">
        <v>2</v>
      </c>
    </row>
    <row r="46" spans="1:29" s="114" customFormat="1" x14ac:dyDescent="0.2">
      <c r="A46" s="187"/>
      <c r="B46" s="188"/>
      <c r="C46" s="189"/>
      <c r="D46" s="118" t="str">
        <f>CONCATENATE(Z45,"T, [daN]")</f>
        <v>2T, [daN]</v>
      </c>
      <c r="E46" s="119">
        <f ca="1">E45*$Z45</f>
        <v>4242.1677508354178</v>
      </c>
      <c r="F46" s="119">
        <f t="shared" ref="F46:N46" ca="1" si="12">F45*$Z45</f>
        <v>4151.8555102348319</v>
      </c>
      <c r="G46" s="119">
        <f t="shared" ca="1" si="12"/>
        <v>4065.6142840385437</v>
      </c>
      <c r="H46" s="119">
        <f t="shared" ca="1" si="12"/>
        <v>3983.2431998252869</v>
      </c>
      <c r="I46" s="119">
        <f t="shared" ca="1" si="12"/>
        <v>3904.5212979316711</v>
      </c>
      <c r="J46" s="119">
        <f t="shared" ca="1" si="12"/>
        <v>3829.2610974311829</v>
      </c>
      <c r="K46" s="119">
        <f t="shared" ca="1" si="12"/>
        <v>3757.2617259025574</v>
      </c>
      <c r="L46" s="119">
        <f t="shared" ca="1" si="12"/>
        <v>3688.362485408783</v>
      </c>
      <c r="M46" s="119">
        <f t="shared" ca="1" si="12"/>
        <v>3622.3758950233459</v>
      </c>
      <c r="N46" s="119">
        <f t="shared" ca="1" si="12"/>
        <v>3559.1479525566101</v>
      </c>
      <c r="O46" s="190"/>
      <c r="P46" s="221"/>
      <c r="Q46" s="142" t="s">
        <v>204</v>
      </c>
      <c r="R46"/>
      <c r="S46"/>
      <c r="T46"/>
      <c r="U46"/>
      <c r="V46"/>
      <c r="W46"/>
      <c r="X46"/>
      <c r="Y46"/>
      <c r="Z46"/>
    </row>
    <row r="47" spans="1:29" s="114" customFormat="1" x14ac:dyDescent="0.2">
      <c r="A47" s="187"/>
      <c r="B47" s="188"/>
      <c r="C47" s="189"/>
      <c r="D47" s="118" t="s">
        <v>31</v>
      </c>
      <c r="E47" s="120">
        <f ca="1">[1]!ripe([1]!Olekuvorrand($C44,$T45,$Y45,$X45,$W45,E$4,[1]!juhe($T45,6),TRUE),[1]!juhe($T45,6),$C44,0)</f>
        <v>10.365207570575523</v>
      </c>
      <c r="F47" s="120">
        <f ca="1">[1]!ripe([1]!Olekuvorrand($C44,$T45,$Y45,$X45,$W45,F$4,[1]!juhe($T45,6),TRUE),[1]!juhe($T45,6),$C44,0)</f>
        <v>10.590674260753257</v>
      </c>
      <c r="G47" s="120">
        <f ca="1">[1]!ripe([1]!Olekuvorrand($C44,$T45,$Y45,$X45,$W45,G$4,[1]!juhe($T45,6),TRUE),[1]!juhe($T45,6),$C44,0)</f>
        <v>10.815327331773453</v>
      </c>
      <c r="H47" s="120">
        <f ca="1">[1]!ripe([1]!Olekuvorrand($C44,$T45,$Y45,$X45,$W45,H$4,[1]!juhe($T45,6),TRUE),[1]!juhe($T45,6),$C44,0)</f>
        <v>11.038981824795252</v>
      </c>
      <c r="I47" s="120">
        <f ca="1">[1]!ripe([1]!Olekuvorrand($C44,$T45,$Y45,$X45,$W45,I$4,[1]!juhe($T45,6),TRUE),[1]!juhe($T45,6),$C44,0)</f>
        <v>11.26154678933451</v>
      </c>
      <c r="J47" s="120">
        <f ca="1">[1]!ripe([1]!Olekuvorrand($C44,$T45,$Y45,$X45,$W45,J$4,[1]!juhe($T45,6),TRUE),[1]!juhe($T45,6),$C44,0)</f>
        <v>11.482880944344078</v>
      </c>
      <c r="K47" s="120">
        <f ca="1">[1]!ripe([1]!Olekuvorrand($C44,$T45,$Y45,$X45,$W45,K$4,[1]!juhe($T45,6),TRUE),[1]!juhe($T45,6),$C44,0)</f>
        <v>11.702924228960404</v>
      </c>
      <c r="L47" s="120">
        <f ca="1">[1]!ripe([1]!Olekuvorrand($C44,$T45,$Y45,$X45,$W45,L$4,[1]!juhe($T45,6),TRUE),[1]!juhe($T45,6),$C44,0)</f>
        <v>11.921536850176834</v>
      </c>
      <c r="M47" s="120">
        <f ca="1">[1]!ripe([1]!Olekuvorrand($C44,$T45,$Y45,$X45,$W45,M$4,[1]!juhe($T45,6),TRUE),[1]!juhe($T45,6),$C44,0)</f>
        <v>12.138704143603858</v>
      </c>
      <c r="N47" s="120">
        <f ca="1">[1]!ripe([1]!Olekuvorrand($C44,$T45,$Y45,$X45,$W45,N$4,[1]!juhe($T45,6),TRUE),[1]!juhe($T45,6),$C44,0)</f>
        <v>12.354347128229207</v>
      </c>
      <c r="O47" s="190"/>
      <c r="P47" s="221"/>
      <c r="Q47" s="142" t="s">
        <v>204</v>
      </c>
      <c r="R47"/>
      <c r="S47"/>
      <c r="T47"/>
      <c r="U47"/>
      <c r="V47"/>
      <c r="W47"/>
      <c r="X47"/>
      <c r="Y47"/>
      <c r="Z47"/>
    </row>
    <row r="48" spans="1:29" s="114" customFormat="1" x14ac:dyDescent="0.2">
      <c r="A48" s="187"/>
      <c r="B48" s="188"/>
      <c r="C48" s="189"/>
      <c r="D48" s="118" t="s">
        <v>195</v>
      </c>
      <c r="E48" s="120">
        <f ca="1">[1]!ripe([1]!Olekuvorrand($C44,$T45,$Y45,$X45,$W45,E$4,[1]!juhe($T45,6)),[1]!juhe($T45,6),$C44,0)</f>
        <v>10.883926197800482</v>
      </c>
      <c r="F48" s="120">
        <f ca="1">[1]!ripe([1]!Olekuvorrand($C44,$T45,$Y45,$X45,$W45,F$4,[1]!juhe($T45,6)),[1]!juhe($T45,6),$C44,0)</f>
        <v>11.119825550933188</v>
      </c>
      <c r="G48" s="120">
        <f ca="1">[1]!ripe([1]!Olekuvorrand($C44,$T45,$Y45,$X45,$W45,G$4,[1]!juhe($T45,6)),[1]!juhe($T45,6),$C44,0)</f>
        <v>11.353836276494995</v>
      </c>
      <c r="H48" s="120">
        <f ca="1">[1]!ripe([1]!Olekuvorrand($C44,$T45,$Y45,$X45,$W45,H$4,[1]!juhe($T45,6)),[1]!juhe($T45,6),$C44,0)</f>
        <v>11.585856067184919</v>
      </c>
      <c r="I48" s="120">
        <f ca="1">[1]!ripe([1]!Olekuvorrand($C44,$T45,$Y45,$X45,$W45,I$4,[1]!juhe($T45,6)),[1]!juhe($T45,6),$C44,0)</f>
        <v>11.815873179869975</v>
      </c>
      <c r="J48" s="120">
        <f ca="1">[1]!ripe([1]!Olekuvorrand($C44,$T45,$Y45,$X45,$W45,J$4,[1]!juhe($T45,6)),[1]!juhe($T45,6),$C44,0)</f>
        <v>12.043800165288609</v>
      </c>
      <c r="K48" s="120">
        <f ca="1">[1]!ripe([1]!Olekuvorrand($C44,$T45,$Y45,$X45,$W45,K$4,[1]!juhe($T45,6)),[1]!juhe($T45,6),$C44,0)</f>
        <v>12.269634005654057</v>
      </c>
      <c r="L48" s="120">
        <f ca="1">[1]!ripe([1]!Olekuvorrand($C44,$T45,$Y45,$X45,$W45,L$4,[1]!juhe($T45,6)),[1]!juhe($T45,6),$C44,0)</f>
        <v>12.493346592531925</v>
      </c>
      <c r="M48" s="120">
        <f ca="1">[1]!ripe([1]!Olekuvorrand($C44,$T45,$Y45,$X45,$W45,M$4,[1]!juhe($T45,6)),[1]!juhe($T45,6),$C44,0)</f>
        <v>12.714946423181575</v>
      </c>
      <c r="N48" s="120">
        <f ca="1">[1]!ripe([1]!Olekuvorrand($C44,$T45,$Y45,$X45,$W45,N$4,[1]!juhe($T45,6)),[1]!juhe($T45,6),$C44,0)</f>
        <v>12.934402152830048</v>
      </c>
      <c r="O48" s="190"/>
      <c r="P48" s="221"/>
      <c r="Q48" s="142" t="s">
        <v>204</v>
      </c>
      <c r="R48"/>
      <c r="S48"/>
      <c r="T48"/>
      <c r="U48"/>
      <c r="V48"/>
      <c r="W48"/>
      <c r="X48"/>
      <c r="Y48"/>
      <c r="Z48"/>
      <c r="AC48" s="121"/>
    </row>
    <row r="49" spans="1:29" x14ac:dyDescent="0.2">
      <c r="A49" s="105"/>
      <c r="B49" s="113" t="str">
        <f ca="1">INDIRECT("Visangud!C" &amp; R49)</f>
        <v>121Y-122Y</v>
      </c>
      <c r="C49" s="106">
        <f ca="1">INDIRECT("Visangud!"&amp;Q49&amp;R49)</f>
        <v>449.09595110651054</v>
      </c>
      <c r="D49" s="10" t="s">
        <v>31</v>
      </c>
      <c r="E49" s="12">
        <f ca="1">[1]!ripe(E$44,[1]!juhe($T$7,6),$C49,0)</f>
        <v>11.315900299645376</v>
      </c>
      <c r="F49" s="12">
        <f ca="1">[1]!ripe(F$44,[1]!juhe($T$7,6),$C49,0)</f>
        <v>11.562046705259577</v>
      </c>
      <c r="G49" s="12">
        <f ca="1">[1]!ripe(G$44,[1]!juhe($T$7,6),$C49,0)</f>
        <v>11.807304866889671</v>
      </c>
      <c r="H49" s="12">
        <f ca="1">[1]!ripe(H$44,[1]!juhe($T$7,6),$C49,0)</f>
        <v>12.051472861343244</v>
      </c>
      <c r="I49" s="12">
        <f ca="1">[1]!ripe(I$44,[1]!juhe($T$7,6),$C49,0)</f>
        <v>12.294451396193802</v>
      </c>
      <c r="J49" s="12">
        <f ca="1">[1]!ripe(J$44,[1]!juhe($T$7,6),$C49,0)</f>
        <v>12.536086232152563</v>
      </c>
      <c r="K49" s="12">
        <f ca="1">[1]!ripe(K$44,[1]!juhe($T$7,6),$C49,0)</f>
        <v>12.776311799597382</v>
      </c>
      <c r="L49" s="12">
        <f ca="1">[1]!ripe(L$44,[1]!juhe($T$7,6),$C49,0)</f>
        <v>13.014975483762456</v>
      </c>
      <c r="M49" s="12">
        <f ca="1">[1]!ripe(M$44,[1]!juhe($T$7,6),$C49,0)</f>
        <v>13.25206127524628</v>
      </c>
      <c r="N49" s="12">
        <f ca="1">[1]!ripe(N$44,[1]!juhe($T$7,6),$C49,0)</f>
        <v>13.487482948929458</v>
      </c>
      <c r="O49" s="107"/>
      <c r="Q49" s="142" t="s">
        <v>204</v>
      </c>
      <c r="R49">
        <v>33</v>
      </c>
      <c r="S49"/>
      <c r="T49"/>
      <c r="U49"/>
      <c r="V49"/>
      <c r="W49"/>
      <c r="X49"/>
      <c r="Y49"/>
      <c r="Z49"/>
      <c r="AC49" s="11"/>
    </row>
    <row r="50" spans="1:29" x14ac:dyDescent="0.2">
      <c r="A50" s="108"/>
      <c r="B50" s="113" t="str">
        <f t="shared" ref="B50:B53" ca="1" si="13">INDIRECT("Visangud!C" &amp; R50)</f>
        <v>122Y-123Y</v>
      </c>
      <c r="C50" s="106">
        <f t="shared" ref="C50:C53" ca="1" si="14">INDIRECT("Visangud!"&amp;Q50&amp;R50)</f>
        <v>441.34479763573052</v>
      </c>
      <c r="D50" s="10" t="s">
        <v>31</v>
      </c>
      <c r="E50" s="12">
        <f ca="1">[1]!ripe(E$44,[1]!juhe($T$7,6),$C50,0)</f>
        <v>10.928658530851649</v>
      </c>
      <c r="F50" s="12">
        <f ca="1">[1]!ripe(F$44,[1]!juhe($T$7,6),$C50,0)</f>
        <v>11.166381552822637</v>
      </c>
      <c r="G50" s="12">
        <f ca="1">[1]!ripe(G$44,[1]!juhe($T$7,6),$C50,0)</f>
        <v>11.403246727433952</v>
      </c>
      <c r="H50" s="12">
        <f ca="1">[1]!ripe(H$44,[1]!juhe($T$7,6),$C50,0)</f>
        <v>11.639059041512894</v>
      </c>
      <c r="I50" s="12">
        <f ca="1">[1]!ripe(I$44,[1]!juhe($T$7,6),$C50,0)</f>
        <v>11.873722600522122</v>
      </c>
      <c r="J50" s="12">
        <f ca="1">[1]!ripe(J$44,[1]!juhe($T$7,6),$C50,0)</f>
        <v>12.107088443400256</v>
      </c>
      <c r="K50" s="12">
        <f ca="1">[1]!ripe(K$44,[1]!juhe($T$7,6),$C50,0)</f>
        <v>12.339093244385182</v>
      </c>
      <c r="L50" s="12">
        <f ca="1">[1]!ripe(L$44,[1]!juhe($T$7,6),$C50,0)</f>
        <v>12.569589611345648</v>
      </c>
      <c r="M50" s="12">
        <f ca="1">[1]!ripe(M$44,[1]!juhe($T$7,6),$C50,0)</f>
        <v>12.798562082738368</v>
      </c>
      <c r="N50" s="12">
        <f ca="1">[1]!ripe(N$44,[1]!juhe($T$7,6),$C50,0)</f>
        <v>13.025927384156379</v>
      </c>
      <c r="O50" s="117"/>
      <c r="Q50" s="142" t="s">
        <v>204</v>
      </c>
      <c r="R50">
        <v>34</v>
      </c>
      <c r="S50"/>
      <c r="T50"/>
      <c r="U50"/>
      <c r="V50"/>
      <c r="W50"/>
      <c r="X50"/>
      <c r="Y50"/>
      <c r="Z50"/>
    </row>
    <row r="51" spans="1:29" x14ac:dyDescent="0.2">
      <c r="A51" s="108"/>
      <c r="B51" s="113" t="str">
        <f t="shared" ca="1" si="13"/>
        <v>123Y-124Y</v>
      </c>
      <c r="C51" s="106">
        <f t="shared" ca="1" si="14"/>
        <v>449.20141629336644</v>
      </c>
      <c r="D51" s="10" t="s">
        <v>31</v>
      </c>
      <c r="E51" s="12">
        <f ca="1">[1]!ripe(E$44,[1]!juhe($T$7,6),$C51,0)</f>
        <v>11.321215750247402</v>
      </c>
      <c r="F51" s="12">
        <f ca="1">[1]!ripe(F$44,[1]!juhe($T$7,6),$C51,0)</f>
        <v>11.567477778925191</v>
      </c>
      <c r="G51" s="12">
        <f ca="1">[1]!ripe(G$44,[1]!juhe($T$7,6),$C51,0)</f>
        <v>11.812851146381457</v>
      </c>
      <c r="H51" s="12">
        <f ca="1">[1]!ripe(H$44,[1]!juhe($T$7,6),$C51,0)</f>
        <v>12.057133834573817</v>
      </c>
      <c r="I51" s="12">
        <f ca="1">[1]!ripe(I$44,[1]!juhe($T$7,6),$C51,0)</f>
        <v>12.300226504434859</v>
      </c>
      <c r="J51" s="12">
        <f ca="1">[1]!ripe(J$44,[1]!juhe($T$7,6),$C51,0)</f>
        <v>12.541974844224537</v>
      </c>
      <c r="K51" s="12">
        <f ca="1">[1]!ripe(K$44,[1]!juhe($T$7,6),$C51,0)</f>
        <v>12.782313253520492</v>
      </c>
      <c r="L51" s="12">
        <f ca="1">[1]!ripe(L$44,[1]!juhe($T$7,6),$C51,0)</f>
        <v>13.021089045868749</v>
      </c>
      <c r="M51" s="12">
        <f ca="1">[1]!ripe(M$44,[1]!juhe($T$7,6),$C51,0)</f>
        <v>13.258286204347661</v>
      </c>
      <c r="N51" s="12">
        <f ca="1">[1]!ripe(N$44,[1]!juhe($T$7,6),$C51,0)</f>
        <v>13.493818463335053</v>
      </c>
      <c r="O51" s="117"/>
      <c r="Q51" s="142" t="s">
        <v>204</v>
      </c>
      <c r="R51">
        <v>35</v>
      </c>
      <c r="S51"/>
      <c r="T51"/>
      <c r="U51"/>
      <c r="V51"/>
      <c r="W51"/>
      <c r="X51"/>
      <c r="Y51"/>
      <c r="Z51"/>
    </row>
    <row r="52" spans="1:29" x14ac:dyDescent="0.2">
      <c r="A52" s="108"/>
      <c r="B52" s="113" t="str">
        <f t="shared" ca="1" si="13"/>
        <v>124Y-125Y</v>
      </c>
      <c r="C52" s="106">
        <f t="shared" ca="1" si="14"/>
        <v>436.49370213105294</v>
      </c>
      <c r="D52" s="10" t="s">
        <v>31</v>
      </c>
      <c r="E52" s="12">
        <f ca="1">[1]!ripe(E$44,[1]!juhe($T$7,6),$C52,0)</f>
        <v>10.689731502351746</v>
      </c>
      <c r="F52" s="12">
        <f ca="1">[1]!ripe(F$44,[1]!juhe($T$7,6),$C52,0)</f>
        <v>10.922257321474349</v>
      </c>
      <c r="G52" s="12">
        <f ca="1">[1]!ripe(G$44,[1]!juhe($T$7,6),$C52,0)</f>
        <v>11.153944047864849</v>
      </c>
      <c r="H52" s="12">
        <f ca="1">[1]!ripe(H$44,[1]!juhe($T$7,6),$C52,0)</f>
        <v>11.384600931812313</v>
      </c>
      <c r="I52" s="12">
        <f ca="1">[1]!ripe(I$44,[1]!juhe($T$7,6),$C52,0)</f>
        <v>11.614134175266985</v>
      </c>
      <c r="J52" s="12">
        <f ca="1">[1]!ripe(J$44,[1]!juhe($T$7,6),$C52,0)</f>
        <v>11.842398073818204</v>
      </c>
      <c r="K52" s="12">
        <f ca="1">[1]!ripe(K$44,[1]!juhe($T$7,6),$C52,0)</f>
        <v>12.069330686158883</v>
      </c>
      <c r="L52" s="12">
        <f ca="1">[1]!ripe(L$44,[1]!juhe($T$7,6),$C52,0)</f>
        <v>12.294787842507873</v>
      </c>
      <c r="M52" s="12">
        <f ca="1">[1]!ripe(M$44,[1]!juhe($T$7,6),$C52,0)</f>
        <v>12.518754419348786</v>
      </c>
      <c r="N52" s="12">
        <f ca="1">[1]!ripe(N$44,[1]!juhe($T$7,6),$C52,0)</f>
        <v>12.741148962855528</v>
      </c>
      <c r="O52" s="117"/>
      <c r="Q52" s="142" t="s">
        <v>204</v>
      </c>
      <c r="R52">
        <v>36</v>
      </c>
      <c r="S52"/>
      <c r="T52"/>
      <c r="U52"/>
      <c r="V52"/>
      <c r="W52"/>
      <c r="X52"/>
      <c r="Y52"/>
      <c r="Z52"/>
    </row>
    <row r="53" spans="1:29" x14ac:dyDescent="0.2">
      <c r="A53" s="108"/>
      <c r="B53" s="113" t="str">
        <f t="shared" ca="1" si="13"/>
        <v>125Y-126Y</v>
      </c>
      <c r="C53" s="106">
        <f t="shared" ca="1" si="14"/>
        <v>347.58182475472358</v>
      </c>
      <c r="D53" s="10" t="s">
        <v>31</v>
      </c>
      <c r="E53" s="12">
        <f ca="1">[1]!ripe(E$44,[1]!juhe($T$7,6),$C53,0)</f>
        <v>6.7783649990459471</v>
      </c>
      <c r="F53" s="12">
        <f ca="1">[1]!ripe(F$44,[1]!juhe($T$7,6),$C53,0)</f>
        <v>6.9258097569772765</v>
      </c>
      <c r="G53" s="12">
        <f ca="1">[1]!ripe(G$44,[1]!juhe($T$7,6),$C53,0)</f>
        <v>7.0727224457163143</v>
      </c>
      <c r="H53" s="12">
        <f ca="1">[1]!ripe(H$44,[1]!juhe($T$7,6),$C53,0)</f>
        <v>7.218982110759776</v>
      </c>
      <c r="I53" s="12">
        <f ca="1">[1]!ripe(I$44,[1]!juhe($T$7,6),$C53,0)</f>
        <v>7.3645292747094349</v>
      </c>
      <c r="J53" s="12">
        <f ca="1">[1]!ripe(J$44,[1]!juhe($T$7,6),$C53,0)</f>
        <v>7.5092715463132604</v>
      </c>
      <c r="K53" s="12">
        <f ca="1">[1]!ripe(K$44,[1]!juhe($T$7,6),$C53,0)</f>
        <v>7.6531696485521907</v>
      </c>
      <c r="L53" s="12">
        <f ca="1">[1]!ripe(L$44,[1]!juhe($T$7,6),$C53,0)</f>
        <v>7.7961321632836604</v>
      </c>
      <c r="M53" s="12">
        <f ca="1">[1]!ripe(M$44,[1]!juhe($T$7,6),$C53,0)</f>
        <v>7.9381495006770821</v>
      </c>
      <c r="N53" s="12">
        <f ca="1">[1]!ripe(N$44,[1]!juhe($T$7,6),$C53,0)</f>
        <v>8.0791700108136784</v>
      </c>
      <c r="O53" s="117"/>
      <c r="Q53" s="142" t="s">
        <v>204</v>
      </c>
      <c r="R53">
        <v>37</v>
      </c>
      <c r="S53"/>
      <c r="T53"/>
      <c r="U53"/>
      <c r="V53"/>
      <c r="W53"/>
      <c r="X53"/>
      <c r="Y53"/>
      <c r="Z53"/>
    </row>
    <row r="54" spans="1:29" s="114" customFormat="1" hidden="1" x14ac:dyDescent="0.2">
      <c r="A54" s="187">
        <v>6</v>
      </c>
      <c r="B54" s="188" t="str">
        <f ca="1">R55</f>
        <v>126Y- 128Y</v>
      </c>
      <c r="C54" s="189">
        <f ca="1">S55</f>
        <v>421.89254548697357</v>
      </c>
      <c r="D54" s="118" t="s">
        <v>130</v>
      </c>
      <c r="E54" s="119">
        <f ca="1">[1]!Olekuvorrand($C54,$T55,$Y55,$X55,$W55,E$4,[1]!juhe($T55,6),TRUE)</f>
        <v>75.852811336517334</v>
      </c>
      <c r="F54" s="119">
        <f ca="1">[1]!Olekuvorrand($C54,$T55,$Y55,$X55,$W55,F$4,[1]!juhe($T55,6),TRUE)</f>
        <v>74.187576770782471</v>
      </c>
      <c r="G54" s="119">
        <f ca="1">[1]!Olekuvorrand($C54,$T55,$Y55,$X55,$W55,G$4,[1]!juhe($T55,6),TRUE)</f>
        <v>72.598755359649658</v>
      </c>
      <c r="H54" s="119">
        <f ca="1">[1]!Olekuvorrand($C54,$T55,$Y55,$X55,$W55,H$4,[1]!juhe($T55,6),TRUE)</f>
        <v>71.082413196563721</v>
      </c>
      <c r="I54" s="119">
        <f ca="1">[1]!Olekuvorrand($C54,$T55,$Y55,$X55,$W55,I$4,[1]!juhe($T55,6),TRUE)</f>
        <v>69.634616374969482</v>
      </c>
      <c r="J54" s="119">
        <f ca="1">[1]!Olekuvorrand($C54,$T55,$Y55,$X55,$W55,J$4,[1]!juhe($T55,6),TRUE)</f>
        <v>68.251669406890869</v>
      </c>
      <c r="K54" s="119">
        <f ca="1">[1]!Olekuvorrand($C54,$T55,$Y55,$X55,$W55,K$4,[1]!juhe($T55,6),TRUE)</f>
        <v>66.930115222930908</v>
      </c>
      <c r="L54" s="119">
        <f ca="1">[1]!Olekuvorrand($C54,$T55,$Y55,$X55,$W55,L$4,[1]!juhe($T55,6),TRUE)</f>
        <v>65.666258335113525</v>
      </c>
      <c r="M54" s="119">
        <f ca="1">[1]!Olekuvorrand($C54,$T55,$Y55,$X55,$W55,M$4,[1]!juhe($T55,6),TRUE)</f>
        <v>64.457237720489502</v>
      </c>
      <c r="N54" s="119">
        <f ca="1">[1]!Olekuvorrand($C54,$T55,$Y55,$X55,$W55,N$4,[1]!juhe($T55,6),TRUE)</f>
        <v>63.299715518951416</v>
      </c>
      <c r="O54" s="190">
        <f ca="1">U55</f>
        <v>65</v>
      </c>
      <c r="P54" s="221"/>
      <c r="Q54" s="142" t="s">
        <v>204</v>
      </c>
      <c r="R54"/>
      <c r="S54"/>
      <c r="T54"/>
      <c r="U54"/>
      <c r="V54"/>
      <c r="W54"/>
      <c r="X54"/>
      <c r="Y54"/>
      <c r="Z54"/>
    </row>
    <row r="55" spans="1:29" s="114" customFormat="1" x14ac:dyDescent="0.2">
      <c r="A55" s="187"/>
      <c r="B55" s="188"/>
      <c r="C55" s="189"/>
      <c r="D55" s="118" t="s">
        <v>32</v>
      </c>
      <c r="E55" s="119">
        <f ca="1">E54*[1]!juhe($T55,2)/10</f>
        <v>2130.2503535747524</v>
      </c>
      <c r="F55" s="119">
        <f ca="1">F54*[1]!juhe($T55,2)/10</f>
        <v>2083.4839060306545</v>
      </c>
      <c r="G55" s="119">
        <f ca="1">G54*[1]!juhe($T55,2)/10</f>
        <v>2038.863445520401</v>
      </c>
      <c r="H55" s="119">
        <f ca="1">H54*[1]!juhe($T55,2)/10</f>
        <v>1996.2784922122955</v>
      </c>
      <c r="I55" s="119">
        <f ca="1">I54*[1]!juhe($T55,2)/10</f>
        <v>1955.6185662746429</v>
      </c>
      <c r="J55" s="119">
        <f ca="1">J54*[1]!juhe($T55,2)/10</f>
        <v>1916.7798836231232</v>
      </c>
      <c r="K55" s="119">
        <f ca="1">K54*[1]!juhe($T55,2)/10</f>
        <v>1879.6653559207916</v>
      </c>
      <c r="L55" s="119">
        <f ca="1">L54*[1]!juhe($T55,2)/10</f>
        <v>1844.1711990833282</v>
      </c>
      <c r="M55" s="119">
        <f ca="1">M54*[1]!juhe($T55,2)/10</f>
        <v>1810.2170641422272</v>
      </c>
      <c r="N55" s="119">
        <f ca="1">N54*[1]!juhe($T55,2)/10</f>
        <v>1777.7092106342316</v>
      </c>
      <c r="O55" s="190"/>
      <c r="P55" s="221"/>
      <c r="Q55" s="142" t="s">
        <v>205</v>
      </c>
      <c r="R55" s="129" t="str">
        <f ca="1">INDIRECT("'"&amp;$S$1&amp;"'!"&amp;$Q55&amp;R$4)</f>
        <v>126Y- 128Y</v>
      </c>
      <c r="S55" s="129">
        <f ca="1">INDIRECT("'"&amp;$S$1&amp;"'!"&amp;$Q55&amp;S$4)</f>
        <v>421.89254548697357</v>
      </c>
      <c r="T55" s="129" t="str">
        <f ca="1">INDIRECT("'"&amp;$S$1&amp;"'!"&amp;$Q55&amp;T$4)</f>
        <v>242-Al1/39-ST1A Hawk</v>
      </c>
      <c r="U55" s="129">
        <f ca="1">INDIRECT("'"&amp;$S$1&amp;"'!"&amp;$Q55&amp;U$4)</f>
        <v>65</v>
      </c>
      <c r="V55" s="129">
        <f ca="1">INDIRECT("'"&amp;$S$1&amp;"'!"&amp;$Q55&amp;V$4)</f>
        <v>5</v>
      </c>
      <c r="W55" s="129">
        <f ca="1">INDIRECT("'"&amp;$S$1&amp;"'!"&amp;$Q55&amp;W$4)</f>
        <v>8.1314798744680977E-2</v>
      </c>
      <c r="X55" s="129">
        <f ca="1">INDIRECT("'"&amp;$S$1&amp;"'!"&amp;$Q55&amp;X$4)</f>
        <v>-5</v>
      </c>
      <c r="Y55" s="129">
        <f ca="1">INDIRECT("'"&amp;$S$1&amp;"'!"&amp;$Q55&amp;Y$4)</f>
        <v>133.9227557182312</v>
      </c>
      <c r="Z55" s="129">
        <v>2</v>
      </c>
    </row>
    <row r="56" spans="1:29" s="114" customFormat="1" x14ac:dyDescent="0.2">
      <c r="A56" s="187"/>
      <c r="B56" s="188"/>
      <c r="C56" s="189"/>
      <c r="D56" s="118" t="str">
        <f>CONCATENATE(Z55,"T, [daN]")</f>
        <v>2T, [daN]</v>
      </c>
      <c r="E56" s="119">
        <f ca="1">E55*$Z55</f>
        <v>4260.5007071495047</v>
      </c>
      <c r="F56" s="119">
        <f t="shared" ref="F56:N56" ca="1" si="15">F55*$Z55</f>
        <v>4166.9678120613089</v>
      </c>
      <c r="G56" s="119">
        <f t="shared" ca="1" si="15"/>
        <v>4077.726891040802</v>
      </c>
      <c r="H56" s="119">
        <f t="shared" ca="1" si="15"/>
        <v>3992.5569844245911</v>
      </c>
      <c r="I56" s="119">
        <f t="shared" ca="1" si="15"/>
        <v>3911.2371325492859</v>
      </c>
      <c r="J56" s="119">
        <f t="shared" ca="1" si="15"/>
        <v>3833.5597672462463</v>
      </c>
      <c r="K56" s="119">
        <f t="shared" ca="1" si="15"/>
        <v>3759.3307118415833</v>
      </c>
      <c r="L56" s="119">
        <f t="shared" ca="1" si="15"/>
        <v>3688.3423981666565</v>
      </c>
      <c r="M56" s="119">
        <f t="shared" ca="1" si="15"/>
        <v>3620.4341282844543</v>
      </c>
      <c r="N56" s="119">
        <f t="shared" ca="1" si="15"/>
        <v>3555.4184212684631</v>
      </c>
      <c r="O56" s="190"/>
      <c r="P56" s="221"/>
      <c r="Q56" s="142" t="s">
        <v>205</v>
      </c>
      <c r="R56"/>
      <c r="S56"/>
      <c r="T56"/>
      <c r="U56"/>
      <c r="V56"/>
      <c r="W56"/>
      <c r="X56"/>
      <c r="Y56"/>
      <c r="Z56"/>
    </row>
    <row r="57" spans="1:29" s="114" customFormat="1" x14ac:dyDescent="0.2">
      <c r="A57" s="187"/>
      <c r="B57" s="188"/>
      <c r="C57" s="189"/>
      <c r="D57" s="118" t="s">
        <v>31</v>
      </c>
      <c r="E57" s="120">
        <f ca="1">[1]!ripe([1]!Olekuvorrand($C54,$T55,$Y55,$X55,$W55,E$4,[1]!juhe($T55,6),TRUE),[1]!juhe($T55,6),$C54,0)</f>
        <v>9.9435562103147923</v>
      </c>
      <c r="F57" s="120">
        <f ca="1">[1]!ripe([1]!Olekuvorrand($C54,$T55,$Y55,$X55,$W55,F$4,[1]!juhe($T55,6),TRUE),[1]!juhe($T55,6),$C54,0)</f>
        <v>10.166751982821342</v>
      </c>
      <c r="G57" s="120">
        <f ca="1">[1]!ripe([1]!Olekuvorrand($C54,$T55,$Y55,$X55,$W55,G$4,[1]!juhe($T55,6),TRUE),[1]!juhe($T55,6),$C54,0)</f>
        <v>10.389251020882833</v>
      </c>
      <c r="H57" s="120">
        <f ca="1">[1]!ripe([1]!Olekuvorrand($C54,$T55,$Y55,$X55,$W55,H$4,[1]!juhe($T55,6),TRUE),[1]!juhe($T55,6),$C54,0)</f>
        <v>10.610876295791337</v>
      </c>
      <c r="I57" s="120">
        <f ca="1">[1]!ripe([1]!Olekuvorrand($C54,$T55,$Y55,$X55,$W55,I$4,[1]!juhe($T55,6),TRUE),[1]!juhe($T55,6),$C54,0)</f>
        <v>10.831490607682605</v>
      </c>
      <c r="J57" s="120">
        <f ca="1">[1]!ripe([1]!Olekuvorrand($C54,$T55,$Y55,$X55,$W55,J$4,[1]!juhe($T55,6),TRUE),[1]!juhe($T55,6),$C54,0)</f>
        <v>11.050963292026269</v>
      </c>
      <c r="K57" s="120">
        <f ca="1">[1]!ripe([1]!Olekuvorrand($C54,$T55,$Y55,$X55,$W55,K$4,[1]!juhe($T55,6),TRUE),[1]!juhe($T55,6),$C54,0)</f>
        <v>11.269167709077109</v>
      </c>
      <c r="L57" s="120">
        <f ca="1">[1]!ripe([1]!Olekuvorrand($C54,$T55,$Y55,$X55,$W55,L$4,[1]!juhe($T55,6),TRUE),[1]!juhe($T55,6),$C54,0)</f>
        <v>11.486061675479188</v>
      </c>
      <c r="M57" s="120">
        <f ca="1">[1]!ripe([1]!Olekuvorrand($C54,$T55,$Y55,$X55,$W55,M$4,[1]!juhe($T55,6),TRUE),[1]!juhe($T55,6),$C54,0)</f>
        <v>11.701505058373069</v>
      </c>
      <c r="N57" s="120">
        <f ca="1">[1]!ripe([1]!Olekuvorrand($C54,$T55,$Y55,$X55,$W55,N$4,[1]!juhe($T55,6),TRUE),[1]!juhe($T55,6),$C54,0)</f>
        <v>11.915483143194349</v>
      </c>
      <c r="O57" s="190"/>
      <c r="P57" s="221"/>
      <c r="Q57" s="142" t="s">
        <v>205</v>
      </c>
      <c r="R57"/>
      <c r="S57"/>
      <c r="T57"/>
      <c r="U57"/>
      <c r="V57"/>
      <c r="W57"/>
      <c r="X57"/>
      <c r="Y57"/>
      <c r="Z57"/>
    </row>
    <row r="58" spans="1:29" s="114" customFormat="1" x14ac:dyDescent="0.2">
      <c r="A58" s="187"/>
      <c r="B58" s="188"/>
      <c r="C58" s="189"/>
      <c r="D58" s="118" t="s">
        <v>195</v>
      </c>
      <c r="E58" s="120">
        <f ca="1">[1]!ripe([1]!Olekuvorrand($C54,$T55,$Y55,$X55,$W55,E$4,[1]!juhe($T55,6)),[1]!juhe($T55,6),$C54,0)</f>
        <v>10.451617229580327</v>
      </c>
      <c r="F58" s="120">
        <f ca="1">[1]!ripe([1]!Olekuvorrand($C54,$T55,$Y55,$X55,$W55,F$4,[1]!juhe($T55,6)),[1]!juhe($T55,6),$C54,0)</f>
        <v>10.685874952765715</v>
      </c>
      <c r="G58" s="120">
        <f ca="1">[1]!ripe([1]!Olekuvorrand($C54,$T55,$Y55,$X55,$W55,G$4,[1]!juhe($T55,6)),[1]!juhe($T55,6),$C54,0)</f>
        <v>10.918293034943787</v>
      </c>
      <c r="H58" s="120">
        <f ca="1">[1]!ripe([1]!Olekuvorrand($C54,$T55,$Y55,$X55,$W55,H$4,[1]!juhe($T55,6)),[1]!juhe($T55,6),$C54,0)</f>
        <v>11.148793806031053</v>
      </c>
      <c r="I58" s="120">
        <f ca="1">[1]!ripe([1]!Olekuvorrand($C54,$T55,$Y55,$X55,$W55,I$4,[1]!juhe($T55,6)),[1]!juhe($T55,6),$C54,0)</f>
        <v>11.377317480775414</v>
      </c>
      <c r="J58" s="120">
        <f ca="1">[1]!ripe([1]!Olekuvorrand($C54,$T55,$Y55,$X55,$W55,J$4,[1]!juhe($T55,6)),[1]!juhe($T55,6),$C54,0)</f>
        <v>11.603795706164124</v>
      </c>
      <c r="K58" s="120">
        <f ca="1">[1]!ripe([1]!Olekuvorrand($C54,$T55,$Y55,$X55,$W55,K$4,[1]!juhe($T55,6)),[1]!juhe($T55,6),$C54,0)</f>
        <v>11.82818565707144</v>
      </c>
      <c r="L58" s="120">
        <f ca="1">[1]!ripe([1]!Olekuvorrand($C54,$T55,$Y55,$X55,$W55,L$4,[1]!juhe($T55,6)),[1]!juhe($T55,6),$C54,0)</f>
        <v>12.050467423190806</v>
      </c>
      <c r="M58" s="120">
        <f ca="1">[1]!ripe([1]!Olekuvorrand($C54,$T55,$Y55,$X55,$W55,M$4,[1]!juhe($T55,6)),[1]!juhe($T55,6),$C54,0)</f>
        <v>12.270640811138268</v>
      </c>
      <c r="N58" s="120">
        <f ca="1">[1]!ripe([1]!Olekuvorrand($C54,$T55,$Y55,$X55,$W55,N$4,[1]!juhe($T55,6)),[1]!juhe($T55,6),$C54,0)</f>
        <v>12.488672293134076</v>
      </c>
      <c r="O58" s="190"/>
      <c r="P58" s="221"/>
      <c r="Q58" s="142" t="s">
        <v>205</v>
      </c>
      <c r="R58"/>
      <c r="S58"/>
      <c r="T58"/>
      <c r="U58"/>
      <c r="V58"/>
      <c r="W58"/>
      <c r="X58"/>
      <c r="Y58"/>
      <c r="Z58"/>
      <c r="AC58" s="121"/>
    </row>
    <row r="59" spans="1:29" x14ac:dyDescent="0.2">
      <c r="A59" s="105"/>
      <c r="B59" s="113" t="str">
        <f t="shared" ref="B59" ca="1" si="16">INDIRECT("Visangud!C" &amp; R59)</f>
        <v>126Y-127Y</v>
      </c>
      <c r="C59" s="106">
        <f t="shared" ref="C59" ca="1" si="17">INDIRECT("Visangud!"&amp;Q59&amp;R59)</f>
        <v>417.31009393500989</v>
      </c>
      <c r="D59" s="10" t="s">
        <v>31</v>
      </c>
      <c r="E59" s="12">
        <f ca="1">[1]!ripe(E$54,[1]!juhe($T$7,6),$C59,0)</f>
        <v>9.7287223399020046</v>
      </c>
      <c r="F59" s="12">
        <f ca="1">[1]!ripe(F$54,[1]!juhe($T$7,6),$C59,0)</f>
        <v>9.9470958928069173</v>
      </c>
      <c r="G59" s="12">
        <f ca="1">[1]!ripe(G$54,[1]!juhe($T$7,6),$C59,0)</f>
        <v>10.164787764448382</v>
      </c>
      <c r="H59" s="12">
        <f ca="1">[1]!ripe(H$54,[1]!juhe($T$7,6),$C59,0)</f>
        <v>10.381624750883139</v>
      </c>
      <c r="I59" s="12">
        <f ca="1">[1]!ripe(I$54,[1]!juhe($T$7,6),$C59,0)</f>
        <v>10.597472616496074</v>
      </c>
      <c r="J59" s="12">
        <f ca="1">[1]!ripe(J$54,[1]!juhe($T$7,6),$C59,0)</f>
        <v>10.812203519807865</v>
      </c>
      <c r="K59" s="12">
        <f ca="1">[1]!ripe(K$54,[1]!juhe($T$7,6),$C59,0)</f>
        <v>11.025693557167507</v>
      </c>
      <c r="L59" s="12">
        <f ca="1">[1]!ripe(L$54,[1]!juhe($T$7,6),$C59,0)</f>
        <v>11.23790145660463</v>
      </c>
      <c r="M59" s="12">
        <f ca="1">[1]!ripe(M$54,[1]!juhe($T$7,6),$C59,0)</f>
        <v>11.448690112877273</v>
      </c>
      <c r="N59" s="12">
        <f ca="1">[1]!ripe(N$54,[1]!juhe($T$7,6),$C59,0)</f>
        <v>11.658045129334139</v>
      </c>
      <c r="O59" s="107"/>
      <c r="Q59" s="142" t="s">
        <v>205</v>
      </c>
      <c r="R59">
        <v>38</v>
      </c>
      <c r="S59"/>
      <c r="T59"/>
      <c r="U59"/>
      <c r="V59"/>
      <c r="W59"/>
      <c r="X59"/>
      <c r="Y59"/>
      <c r="Z59"/>
      <c r="AC59" s="11"/>
    </row>
    <row r="60" spans="1:29" x14ac:dyDescent="0.2">
      <c r="A60" s="108"/>
      <c r="B60" s="113" t="str">
        <f t="shared" ref="B60" ca="1" si="18">INDIRECT("Visangud!C" &amp; R60)</f>
        <v>127Y-128Y</v>
      </c>
      <c r="C60" s="106">
        <f t="shared" ref="C60" ca="1" si="19">INDIRECT("Visangud!"&amp;Q60&amp;R60)</f>
        <v>426.33034198842131</v>
      </c>
      <c r="D60" s="10" t="s">
        <v>31</v>
      </c>
      <c r="E60" s="12">
        <f ca="1">[1]!ripe(E$54,[1]!juhe($T$7,6),$C60,0)</f>
        <v>10.153844650551632</v>
      </c>
      <c r="F60" s="12">
        <f ca="1">[1]!ripe(F$54,[1]!juhe($T$7,6),$C60,0)</f>
        <v>10.381760614695372</v>
      </c>
      <c r="G60" s="12">
        <f ca="1">[1]!ripe(G$54,[1]!juhe($T$7,6),$C60,0)</f>
        <v>10.608965109705917</v>
      </c>
      <c r="H60" s="12">
        <f ca="1">[1]!ripe(H$54,[1]!juhe($T$7,6),$C60,0)</f>
        <v>10.835277363034598</v>
      </c>
      <c r="I60" s="12">
        <f ca="1">[1]!ripe(I$54,[1]!juhe($T$7,6),$C60,0)</f>
        <v>11.060557273285276</v>
      </c>
      <c r="J60" s="12">
        <f ca="1">[1]!ripe(J$54,[1]!juhe($T$7,6),$C60,0)</f>
        <v>11.284671412606318</v>
      </c>
      <c r="K60" s="12">
        <f ca="1">[1]!ripe(K$54,[1]!juhe($T$7,6),$C60,0)</f>
        <v>11.507490463048262</v>
      </c>
      <c r="L60" s="12">
        <f ca="1">[1]!ripe(L$54,[1]!juhe($T$7,6),$C60,0)</f>
        <v>11.728971349152586</v>
      </c>
      <c r="M60" s="12">
        <f ca="1">[1]!ripe(M$54,[1]!juhe($T$7,6),$C60,0)</f>
        <v>11.948970974500357</v>
      </c>
      <c r="N60" s="12">
        <f ca="1">[1]!ripe(N$54,[1]!juhe($T$7,6),$C60,0)</f>
        <v>12.167474313340442</v>
      </c>
      <c r="O60" s="117"/>
      <c r="Q60" s="142" t="s">
        <v>205</v>
      </c>
      <c r="R60">
        <v>39</v>
      </c>
      <c r="S60"/>
      <c r="T60"/>
      <c r="U60"/>
      <c r="V60"/>
      <c r="W60"/>
      <c r="X60"/>
      <c r="Y60"/>
      <c r="Z60"/>
    </row>
    <row r="61" spans="1:29" s="114" customFormat="1" hidden="1" x14ac:dyDescent="0.2">
      <c r="A61" s="187">
        <v>7</v>
      </c>
      <c r="B61" s="188" t="str">
        <f ca="1">R62</f>
        <v>128Y- 133Y</v>
      </c>
      <c r="C61" s="189">
        <f ca="1">S62</f>
        <v>408.37030439381806</v>
      </c>
      <c r="D61" s="118" t="s">
        <v>130</v>
      </c>
      <c r="E61" s="119">
        <f ca="1">[1]!Olekuvorrand($C61,$T62,$Y62,$X62,$W62,E$4,[1]!juhe($T62,6),TRUE)</f>
        <v>76.439797878265381</v>
      </c>
      <c r="F61" s="119">
        <f ca="1">[1]!Olekuvorrand($C61,$T62,$Y62,$X62,$W62,F$4,[1]!juhe($T62,6),TRUE)</f>
        <v>74.670851230621338</v>
      </c>
      <c r="G61" s="119">
        <f ca="1">[1]!Olekuvorrand($C61,$T62,$Y62,$X62,$W62,G$4,[1]!juhe($T62,6),TRUE)</f>
        <v>72.985351085662842</v>
      </c>
      <c r="H61" s="119">
        <f ca="1">[1]!Olekuvorrand($C61,$T62,$Y62,$X62,$W62,H$4,[1]!juhe($T62,6),TRUE)</f>
        <v>71.379125118255615</v>
      </c>
      <c r="I61" s="119">
        <f ca="1">[1]!Olekuvorrand($C61,$T62,$Y62,$X62,$W62,I$4,[1]!juhe($T62,6),TRUE)</f>
        <v>69.847762584686279</v>
      </c>
      <c r="J61" s="119">
        <f ca="1">[1]!Olekuvorrand($C61,$T62,$Y62,$X62,$W62,J$4,[1]!juhe($T62,6),TRUE)</f>
        <v>68.387210369110107</v>
      </c>
      <c r="K61" s="119">
        <f ca="1">[1]!Olekuvorrand($C61,$T62,$Y62,$X62,$W62,K$4,[1]!juhe($T62,6),TRUE)</f>
        <v>66.993653774261475</v>
      </c>
      <c r="L61" s="119">
        <f ca="1">[1]!Olekuvorrand($C61,$T62,$Y62,$X62,$W62,L$4,[1]!juhe($T62,6),TRUE)</f>
        <v>65.663278102874756</v>
      </c>
      <c r="M61" s="119">
        <f ca="1">[1]!Olekuvorrand($C61,$T62,$Y62,$X62,$W62,M$4,[1]!juhe($T62,6),TRUE)</f>
        <v>64.392507076263428</v>
      </c>
      <c r="N61" s="119">
        <f ca="1">[1]!Olekuvorrand($C61,$T62,$Y62,$X62,$W62,N$4,[1]!juhe($T62,6),TRUE)</f>
        <v>63.178002834320068</v>
      </c>
      <c r="O61" s="190">
        <f ca="1">U62</f>
        <v>65</v>
      </c>
      <c r="P61" s="221"/>
      <c r="Q61" s="142" t="s">
        <v>205</v>
      </c>
      <c r="R61"/>
      <c r="S61"/>
      <c r="T61"/>
      <c r="U61"/>
      <c r="V61"/>
      <c r="W61"/>
      <c r="X61"/>
      <c r="Y61"/>
      <c r="Z61"/>
    </row>
    <row r="62" spans="1:29" s="114" customFormat="1" x14ac:dyDescent="0.2">
      <c r="A62" s="187"/>
      <c r="B62" s="188"/>
      <c r="C62" s="189"/>
      <c r="D62" s="118" t="s">
        <v>32</v>
      </c>
      <c r="E62" s="119">
        <f ca="1">E61*[1]!juhe($T62,2)/10</f>
        <v>2146.7352836132045</v>
      </c>
      <c r="F62" s="119">
        <f ca="1">F61*[1]!juhe($T62,2)/10</f>
        <v>2097.0561859607692</v>
      </c>
      <c r="G62" s="119">
        <f ca="1">G61*[1]!juhe($T62,2)/10</f>
        <v>2049.7205998897548</v>
      </c>
      <c r="H62" s="119">
        <f ca="1">H61*[1]!juhe($T62,2)/10</f>
        <v>2004.6113498210907</v>
      </c>
      <c r="I62" s="119">
        <f ca="1">I61*[1]!juhe($T62,2)/10</f>
        <v>1961.6045644283295</v>
      </c>
      <c r="J62" s="119">
        <f ca="1">J61*[1]!juhe($T62,2)/10</f>
        <v>1920.5864160060883</v>
      </c>
      <c r="K62" s="119">
        <f ca="1">K61*[1]!juhe($T62,2)/10</f>
        <v>1881.4497725963593</v>
      </c>
      <c r="L62" s="119">
        <f ca="1">L61*[1]!juhe($T62,2)/10</f>
        <v>1844.0875022411346</v>
      </c>
      <c r="M62" s="119">
        <f ca="1">M61*[1]!juhe($T62,2)/10</f>
        <v>1808.3991687297821</v>
      </c>
      <c r="N62" s="119">
        <f ca="1">N61*[1]!juhe($T62,2)/10</f>
        <v>1774.2910315990448</v>
      </c>
      <c r="O62" s="190"/>
      <c r="P62" s="221"/>
      <c r="Q62" s="142" t="s">
        <v>206</v>
      </c>
      <c r="R62" s="129" t="str">
        <f ca="1">INDIRECT("'"&amp;$S$1&amp;"'!"&amp;$Q62&amp;R$4)</f>
        <v>128Y- 133Y</v>
      </c>
      <c r="S62" s="129">
        <f ca="1">INDIRECT("'"&amp;$S$1&amp;"'!"&amp;$Q62&amp;S$4)</f>
        <v>408.37030439381806</v>
      </c>
      <c r="T62" s="129" t="str">
        <f ca="1">INDIRECT("'"&amp;$S$1&amp;"'!"&amp;$Q62&amp;T$4)</f>
        <v>242-Al1/39-ST1A Hawk</v>
      </c>
      <c r="U62" s="129">
        <f ca="1">INDIRECT("'"&amp;$S$1&amp;"'!"&amp;$Q62&amp;U$4)</f>
        <v>65</v>
      </c>
      <c r="V62" s="129">
        <f ca="1">INDIRECT("'"&amp;$S$1&amp;"'!"&amp;$Q62&amp;V$4)</f>
        <v>5</v>
      </c>
      <c r="W62" s="129">
        <f ca="1">INDIRECT("'"&amp;$S$1&amp;"'!"&amp;$Q62&amp;W$4)</f>
        <v>8.1377976309425226E-2</v>
      </c>
      <c r="X62" s="129">
        <f ca="1">INDIRECT("'"&amp;$S$1&amp;"'!"&amp;$Q62&amp;X$4)</f>
        <v>-5</v>
      </c>
      <c r="Y62" s="129">
        <f ca="1">INDIRECT("'"&amp;$S$1&amp;"'!"&amp;$Q62&amp;Y$4)</f>
        <v>133.12703371047974</v>
      </c>
      <c r="Z62" s="129">
        <v>2</v>
      </c>
    </row>
    <row r="63" spans="1:29" s="114" customFormat="1" x14ac:dyDescent="0.2">
      <c r="A63" s="187"/>
      <c r="B63" s="188"/>
      <c r="C63" s="189"/>
      <c r="D63" s="118" t="str">
        <f>CONCATENATE(Z62,"T, [daN]")</f>
        <v>2T, [daN]</v>
      </c>
      <c r="E63" s="119">
        <f ca="1">E62*$Z62</f>
        <v>4293.470567226409</v>
      </c>
      <c r="F63" s="119">
        <f t="shared" ref="F63:N63" ca="1" si="20">F62*$Z62</f>
        <v>4194.1123719215384</v>
      </c>
      <c r="G63" s="119">
        <f t="shared" ca="1" si="20"/>
        <v>4099.4411997795096</v>
      </c>
      <c r="H63" s="119">
        <f t="shared" ca="1" si="20"/>
        <v>4009.2226996421814</v>
      </c>
      <c r="I63" s="119">
        <f t="shared" ca="1" si="20"/>
        <v>3923.2091288566589</v>
      </c>
      <c r="J63" s="119">
        <f t="shared" ca="1" si="20"/>
        <v>3841.1728320121765</v>
      </c>
      <c r="K63" s="119">
        <f t="shared" ca="1" si="20"/>
        <v>3762.8995451927185</v>
      </c>
      <c r="L63" s="119">
        <f t="shared" ca="1" si="20"/>
        <v>3688.1750044822693</v>
      </c>
      <c r="M63" s="119">
        <f t="shared" ca="1" si="20"/>
        <v>3616.7983374595642</v>
      </c>
      <c r="N63" s="119">
        <f t="shared" ca="1" si="20"/>
        <v>3548.5820631980896</v>
      </c>
      <c r="O63" s="190"/>
      <c r="P63" s="221"/>
      <c r="Q63" s="142" t="s">
        <v>206</v>
      </c>
      <c r="R63"/>
      <c r="S63"/>
      <c r="T63"/>
      <c r="U63"/>
      <c r="V63"/>
      <c r="W63"/>
      <c r="X63"/>
      <c r="Y63"/>
      <c r="Z63"/>
    </row>
    <row r="64" spans="1:29" s="114" customFormat="1" x14ac:dyDescent="0.2">
      <c r="A64" s="187"/>
      <c r="B64" s="188"/>
      <c r="C64" s="189"/>
      <c r="D64" s="118" t="s">
        <v>31</v>
      </c>
      <c r="E64" s="120">
        <f ca="1">[1]!ripe([1]!Olekuvorrand($C61,$T62,$Y62,$X62,$W62,E$4,[1]!juhe($T62,6),TRUE),[1]!juhe($T62,6),$C61,0)</f>
        <v>9.2448206198426135</v>
      </c>
      <c r="F64" s="120">
        <f ca="1">[1]!ripe([1]!Olekuvorrand($C61,$T62,$Y62,$X62,$W62,F$4,[1]!juhe($T62,6),TRUE),[1]!juhe($T62,6),$C61,0)</f>
        <v>9.4638297000127736</v>
      </c>
      <c r="G64" s="120">
        <f ca="1">[1]!ripe([1]!Olekuvorrand($C61,$T62,$Y62,$X62,$W62,G$4,[1]!juhe($T62,6),TRUE),[1]!juhe($T62,6),$C61,0)</f>
        <v>9.6823843290439058</v>
      </c>
      <c r="H64" s="120">
        <f ca="1">[1]!ripe([1]!Olekuvorrand($C61,$T62,$Y62,$X62,$W62,H$4,[1]!juhe($T62,6),TRUE),[1]!juhe($T62,6),$C61,0)</f>
        <v>9.9002645161428866</v>
      </c>
      <c r="I64" s="120">
        <f ca="1">[1]!ripe([1]!Olekuvorrand($C61,$T62,$Y62,$X62,$W62,I$4,[1]!juhe($T62,6),TRUE),[1]!juhe($T62,6),$C61,0)</f>
        <v>10.117320776664696</v>
      </c>
      <c r="J64" s="120">
        <f ca="1">[1]!ripe([1]!Olekuvorrand($C61,$T62,$Y62,$X62,$W62,J$4,[1]!juhe($T62,6),TRUE),[1]!juhe($T62,6),$C61,0)</f>
        <v>10.333397367540336</v>
      </c>
      <c r="K64" s="120">
        <f ca="1">[1]!ripe([1]!Olekuvorrand($C61,$T62,$Y62,$X62,$W62,K$4,[1]!juhe($T62,6),TRUE),[1]!juhe($T62,6),$C61,0)</f>
        <v>10.548345698276997</v>
      </c>
      <c r="L64" s="120">
        <f ca="1">[1]!ripe([1]!Olekuvorrand($C61,$T62,$Y62,$X62,$W62,L$4,[1]!juhe($T62,6),TRUE),[1]!juhe($T62,6),$C61,0)</f>
        <v>10.762061231460986</v>
      </c>
      <c r="M64" s="120">
        <f ca="1">[1]!ripe([1]!Olekuvorrand($C61,$T62,$Y62,$X62,$W62,M$4,[1]!juhe($T62,6),TRUE),[1]!juhe($T62,6),$C61,0)</f>
        <v>10.974447986077642</v>
      </c>
      <c r="N64" s="120">
        <f ca="1">[1]!ripe([1]!Olekuvorrand($C61,$T62,$Y62,$X62,$W62,N$4,[1]!juhe($T62,6),TRUE),[1]!juhe($T62,6),$C61,0)</f>
        <v>11.185415617755256</v>
      </c>
      <c r="O64" s="190"/>
      <c r="P64" s="221"/>
      <c r="Q64" s="142" t="s">
        <v>206</v>
      </c>
      <c r="R64"/>
      <c r="S64"/>
      <c r="T64"/>
      <c r="U64"/>
      <c r="V64"/>
      <c r="W64"/>
      <c r="X64"/>
      <c r="Y64"/>
      <c r="Z64"/>
    </row>
    <row r="65" spans="1:29" s="114" customFormat="1" x14ac:dyDescent="0.2">
      <c r="A65" s="187"/>
      <c r="B65" s="188"/>
      <c r="C65" s="189"/>
      <c r="D65" s="118" t="s">
        <v>195</v>
      </c>
      <c r="E65" s="120">
        <f ca="1">[1]!ripe([1]!Olekuvorrand($C61,$T62,$Y62,$X62,$W62,E$4,[1]!juhe($T62,6)),[1]!juhe($T62,6),$C61,0)</f>
        <v>9.7337681918835148</v>
      </c>
      <c r="F65" s="120">
        <f ca="1">[1]!ripe([1]!Olekuvorrand($C61,$T62,$Y62,$X62,$W62,F$4,[1]!juhe($T62,6)),[1]!juhe($T62,6),$C61,0)</f>
        <v>9.9649867574313422</v>
      </c>
      <c r="G65" s="120">
        <f ca="1">[1]!ripe([1]!Olekuvorrand($C61,$T62,$Y62,$X62,$W62,G$4,[1]!juhe($T62,6)),[1]!juhe($T62,6),$C61,0)</f>
        <v>10.19452015771189</v>
      </c>
      <c r="H65" s="120">
        <f ca="1">[1]!ripe([1]!Olekuvorrand($C61,$T62,$Y62,$X62,$W62,H$4,[1]!juhe($T62,6)),[1]!juhe($T62,6),$C61,0)</f>
        <v>10.422236641406881</v>
      </c>
      <c r="I65" s="120">
        <f ca="1">[1]!ripe([1]!Olekuvorrand($C61,$T62,$Y62,$X62,$W62,I$4,[1]!juhe($T62,6)),[1]!juhe($T62,6),$C61,0)</f>
        <v>10.648046168016954</v>
      </c>
      <c r="J65" s="120">
        <f ca="1">[1]!ripe([1]!Olekuvorrand($C61,$T62,$Y62,$X62,$W62,J$4,[1]!juhe($T62,6)),[1]!juhe($T62,6),$C61,0)</f>
        <v>10.871880700341123</v>
      </c>
      <c r="K65" s="120">
        <f ca="1">[1]!ripe([1]!Olekuvorrand($C61,$T62,$Y62,$X62,$W62,K$4,[1]!juhe($T62,6)),[1]!juhe($T62,6),$C61,0)</f>
        <v>11.093668828562942</v>
      </c>
      <c r="L65" s="120">
        <f ca="1">[1]!ripe([1]!Olekuvorrand($C61,$T62,$Y62,$X62,$W62,L$4,[1]!juhe($T62,6)),[1]!juhe($T62,6),$C61,0)</f>
        <v>11.313369335993066</v>
      </c>
      <c r="M65" s="120">
        <f ca="1">[1]!ripe([1]!Olekuvorrand($C61,$T62,$Y62,$X62,$W62,M$4,[1]!juhe($T62,6)),[1]!juhe($T62,6),$C61,0)</f>
        <v>11.530991474739761</v>
      </c>
      <c r="N65" s="120">
        <f ca="1">[1]!ripe([1]!Olekuvorrand($C61,$T62,$Y62,$X62,$W62,N$4,[1]!juhe($T62,6)),[1]!juhe($T62,6),$C61,0)</f>
        <v>11.746456760166746</v>
      </c>
      <c r="O65" s="190"/>
      <c r="P65" s="221"/>
      <c r="Q65" s="142" t="s">
        <v>206</v>
      </c>
      <c r="R65"/>
      <c r="S65"/>
      <c r="T65"/>
      <c r="U65"/>
      <c r="V65"/>
      <c r="W65"/>
      <c r="X65"/>
      <c r="Y65"/>
      <c r="Z65"/>
      <c r="AC65" s="121"/>
    </row>
    <row r="66" spans="1:29" x14ac:dyDescent="0.2">
      <c r="A66" s="105"/>
      <c r="B66" s="113" t="str">
        <f t="shared" ref="B66" ca="1" si="21">INDIRECT("Visangud!C" &amp; R66)</f>
        <v>128Y-129Y</v>
      </c>
      <c r="C66" s="106">
        <f t="shared" ref="C66" ca="1" si="22">INDIRECT("Visangud!"&amp;Q66&amp;R66)</f>
        <v>358.28273639717588</v>
      </c>
      <c r="D66" s="10" t="s">
        <v>31</v>
      </c>
      <c r="E66" s="12">
        <f ca="1">[1]!ripe(E$61,[1]!juhe($T$7,6),$C66,0)</f>
        <v>7.1160984226741064</v>
      </c>
      <c r="F66" s="12">
        <f ca="1">[1]!ripe(F$61,[1]!juhe($T$7,6),$C66,0)</f>
        <v>7.2846782398535881</v>
      </c>
      <c r="G66" s="12">
        <f ca="1">[1]!ripe(G$61,[1]!juhe($T$7,6),$C66,0)</f>
        <v>7.4529082482951203</v>
      </c>
      <c r="H66" s="12">
        <f ca="1">[1]!ripe(H$61,[1]!juhe($T$7,6),$C66,0)</f>
        <v>7.6206191125188321</v>
      </c>
      <c r="I66" s="12">
        <f ca="1">[1]!ripe(I$61,[1]!juhe($T$7,6),$C66,0)</f>
        <v>7.787695768372549</v>
      </c>
      <c r="J66" s="12">
        <f ca="1">[1]!ripe(J$61,[1]!juhe($T$7,6),$C66,0)</f>
        <v>7.9540183343514563</v>
      </c>
      <c r="K66" s="12">
        <f ca="1">[1]!ripe(K$61,[1]!juhe($T$7,6),$C66,0)</f>
        <v>8.1194724345671538</v>
      </c>
      <c r="L66" s="12">
        <f ca="1">[1]!ripe(L$61,[1]!juhe($T$7,6),$C66,0)</f>
        <v>8.283977602501654</v>
      </c>
      <c r="M66" s="12">
        <f ca="1">[1]!ripe(M$61,[1]!juhe($T$7,6),$C66,0)</f>
        <v>8.4474599578304908</v>
      </c>
      <c r="N66" s="12">
        <f ca="1">[1]!ripe(N$61,[1]!juhe($T$7,6),$C66,0)</f>
        <v>8.6098499589727631</v>
      </c>
      <c r="O66" s="107"/>
      <c r="Q66" s="142" t="s">
        <v>206</v>
      </c>
      <c r="R66">
        <v>40</v>
      </c>
      <c r="S66"/>
      <c r="T66"/>
      <c r="U66"/>
      <c r="V66"/>
      <c r="W66"/>
      <c r="X66"/>
      <c r="Y66"/>
      <c r="Z66"/>
      <c r="AC66" s="11"/>
    </row>
    <row r="67" spans="1:29" x14ac:dyDescent="0.2">
      <c r="A67" s="108"/>
      <c r="B67" s="113" t="str">
        <f t="shared" ref="B67:B70" ca="1" si="23">INDIRECT("Visangud!C" &amp; R67)</f>
        <v>129Y-130Y</v>
      </c>
      <c r="C67" s="106">
        <f t="shared" ref="C67:C70" ca="1" si="24">INDIRECT("Visangud!"&amp;Q67&amp;R67)</f>
        <v>430.99081475115867</v>
      </c>
      <c r="D67" s="10" t="s">
        <v>31</v>
      </c>
      <c r="E67" s="12">
        <f ca="1">[1]!ripe(E$61,[1]!juhe($T$7,6),$C67,0)</f>
        <v>10.297367451481033</v>
      </c>
      <c r="F67" s="12">
        <f ca="1">[1]!ripe(F$61,[1]!juhe($T$7,6),$C67,0)</f>
        <v>10.541311284083095</v>
      </c>
      <c r="G67" s="12">
        <f ca="1">[1]!ripe(G$61,[1]!juhe($T$7,6),$C67,0)</f>
        <v>10.784748925103978</v>
      </c>
      <c r="H67" s="12">
        <f ca="1">[1]!ripe(H$61,[1]!juhe($T$7,6),$C67,0)</f>
        <v>11.027435337227553</v>
      </c>
      <c r="I67" s="12">
        <f ca="1">[1]!ripe(I$61,[1]!juhe($T$7,6),$C67,0)</f>
        <v>11.269204016593829</v>
      </c>
      <c r="J67" s="12">
        <f ca="1">[1]!ripe(J$61,[1]!juhe($T$7,6),$C67,0)</f>
        <v>11.509881488381017</v>
      </c>
      <c r="K67" s="12">
        <f ca="1">[1]!ripe(K$61,[1]!juhe($T$7,6),$C67,0)</f>
        <v>11.749302244682891</v>
      </c>
      <c r="L67" s="12">
        <f ca="1">[1]!ripe(L$61,[1]!juhe($T$7,6),$C67,0)</f>
        <v>11.987349846229778</v>
      </c>
      <c r="M67" s="12">
        <f ca="1">[1]!ripe(M$61,[1]!juhe($T$7,6),$C67,0)</f>
        <v>12.223917384319281</v>
      </c>
      <c r="N67" s="12">
        <f ca="1">[1]!ripe(N$61,[1]!juhe($T$7,6),$C67,0)</f>
        <v>12.458904228638396</v>
      </c>
      <c r="O67" s="117"/>
      <c r="Q67" s="142" t="s">
        <v>206</v>
      </c>
      <c r="R67">
        <v>41</v>
      </c>
      <c r="S67"/>
      <c r="T67"/>
      <c r="U67"/>
      <c r="V67"/>
      <c r="W67"/>
      <c r="X67"/>
      <c r="Y67"/>
      <c r="Z67"/>
    </row>
    <row r="68" spans="1:29" x14ac:dyDescent="0.2">
      <c r="A68" s="108"/>
      <c r="B68" s="113" t="str">
        <f t="shared" ca="1" si="23"/>
        <v>130Y-131Y</v>
      </c>
      <c r="C68" s="106">
        <f t="shared" ca="1" si="24"/>
        <v>417.88582567503056</v>
      </c>
      <c r="D68" s="10" t="s">
        <v>31</v>
      </c>
      <c r="E68" s="12">
        <f ca="1">[1]!ripe(E$61,[1]!juhe($T$7,6),$C68,0)</f>
        <v>9.6806710316353151</v>
      </c>
      <c r="F68" s="12">
        <f ca="1">[1]!ripe(F$61,[1]!juhe($T$7,6),$C68,0)</f>
        <v>9.9100053741013827</v>
      </c>
      <c r="G68" s="12">
        <f ca="1">[1]!ripe(G$61,[1]!juhe($T$7,6),$C68,0)</f>
        <v>10.138863840165108</v>
      </c>
      <c r="H68" s="12">
        <f ca="1">[1]!ripe(H$61,[1]!juhe($T$7,6),$C68,0)</f>
        <v>10.36701606748786</v>
      </c>
      <c r="I68" s="12">
        <f ca="1">[1]!ripe(I$61,[1]!juhe($T$7,6),$C68,0)</f>
        <v>10.59430552391696</v>
      </c>
      <c r="J68" s="12">
        <f ca="1">[1]!ripe(J$61,[1]!juhe($T$7,6),$C68,0)</f>
        <v>10.820569123820095</v>
      </c>
      <c r="K68" s="12">
        <f ca="1">[1]!ripe(K$61,[1]!juhe($T$7,6),$C68,0)</f>
        <v>11.045651271351929</v>
      </c>
      <c r="L68" s="12">
        <f ca="1">[1]!ripe(L$61,[1]!juhe($T$7,6),$C68,0)</f>
        <v>11.269442500644594</v>
      </c>
      <c r="M68" s="12">
        <f ca="1">[1]!ripe(M$61,[1]!juhe($T$7,6),$C68,0)</f>
        <v>11.491842305623774</v>
      </c>
      <c r="N68" s="12">
        <f ca="1">[1]!ripe(N$61,[1]!juhe($T$7,6),$C68,0)</f>
        <v>11.712756082599681</v>
      </c>
      <c r="O68" s="117"/>
      <c r="Q68" s="142" t="s">
        <v>206</v>
      </c>
      <c r="R68">
        <v>42</v>
      </c>
      <c r="S68"/>
      <c r="T68"/>
      <c r="U68"/>
      <c r="V68"/>
      <c r="W68"/>
      <c r="X68"/>
      <c r="Y68"/>
      <c r="Z68"/>
    </row>
    <row r="69" spans="1:29" x14ac:dyDescent="0.2">
      <c r="A69" s="108"/>
      <c r="B69" s="113" t="str">
        <f t="shared" ca="1" si="23"/>
        <v>131Y-132Y</v>
      </c>
      <c r="C69" s="106">
        <f t="shared" ca="1" si="24"/>
        <v>450.42386359941628</v>
      </c>
      <c r="D69" s="10" t="s">
        <v>31</v>
      </c>
      <c r="E69" s="12">
        <f ca="1">[1]!ripe(E$61,[1]!juhe($T$7,6),$C69,0)</f>
        <v>11.246903379861735</v>
      </c>
      <c r="F69" s="12">
        <f ca="1">[1]!ripe(F$61,[1]!juhe($T$7,6),$C69,0)</f>
        <v>11.513341644623663</v>
      </c>
      <c r="G69" s="12">
        <f ca="1">[1]!ripe(G$61,[1]!juhe($T$7,6),$C69,0)</f>
        <v>11.779227041108136</v>
      </c>
      <c r="H69" s="12">
        <f ca="1">[1]!ripe(H$61,[1]!juhe($T$7,6),$C69,0)</f>
        <v>12.044291936735084</v>
      </c>
      <c r="I69" s="12">
        <f ca="1">[1]!ripe(I$61,[1]!juhe($T$7,6),$C69,0)</f>
        <v>12.30835447407012</v>
      </c>
      <c r="J69" s="12">
        <f ca="1">[1]!ripe(J$61,[1]!juhe($T$7,6),$C69,0)</f>
        <v>12.571225181914054</v>
      </c>
      <c r="K69" s="12">
        <f ca="1">[1]!ripe(K$61,[1]!juhe($T$7,6),$C69,0)</f>
        <v>12.832723290624674</v>
      </c>
      <c r="L69" s="12">
        <f ca="1">[1]!ripe(L$61,[1]!juhe($T$7,6),$C69,0)</f>
        <v>13.092721623889997</v>
      </c>
      <c r="M69" s="12">
        <f ca="1">[1]!ripe(M$61,[1]!juhe($T$7,6),$C69,0)</f>
        <v>13.351103414793432</v>
      </c>
      <c r="N69" s="12">
        <f ca="1">[1]!ripe(N$61,[1]!juhe($T$7,6),$C69,0)</f>
        <v>13.607758753747619</v>
      </c>
      <c r="O69" s="117"/>
      <c r="Q69" s="142" t="s">
        <v>206</v>
      </c>
      <c r="R69">
        <v>43</v>
      </c>
      <c r="S69"/>
      <c r="T69"/>
      <c r="U69"/>
      <c r="V69"/>
      <c r="W69"/>
      <c r="X69"/>
      <c r="Y69"/>
      <c r="Z69"/>
    </row>
    <row r="70" spans="1:29" x14ac:dyDescent="0.2">
      <c r="A70" s="108"/>
      <c r="B70" s="113" t="str">
        <f t="shared" ca="1" si="23"/>
        <v>132Y-133Y</v>
      </c>
      <c r="C70" s="106">
        <f t="shared" ca="1" si="24"/>
        <v>357.27048604651083</v>
      </c>
      <c r="D70" s="10" t="s">
        <v>31</v>
      </c>
      <c r="E70" s="12">
        <f ca="1">[1]!ripe(E$61,[1]!juhe($T$7,6),$C70,0)</f>
        <v>7.0759452322009864</v>
      </c>
      <c r="F70" s="12">
        <f ca="1">[1]!ripe(F$61,[1]!juhe($T$7,6),$C70,0)</f>
        <v>7.2435738234267122</v>
      </c>
      <c r="G70" s="12">
        <f ca="1">[1]!ripe(G$61,[1]!juhe($T$7,6),$C70,0)</f>
        <v>7.4108545797400378</v>
      </c>
      <c r="H70" s="12">
        <f ca="1">[1]!ripe(H$61,[1]!juhe($T$7,6),$C70,0)</f>
        <v>7.5776191211509385</v>
      </c>
      <c r="I70" s="12">
        <f ca="1">[1]!ripe(I$61,[1]!juhe($T$7,6),$C70,0)</f>
        <v>7.7437530327665023</v>
      </c>
      <c r="J70" s="12">
        <f ca="1">[1]!ripe(J$61,[1]!juhe($T$7,6),$C70,0)</f>
        <v>7.909137109523499</v>
      </c>
      <c r="K70" s="12">
        <f ca="1">[1]!ripe(K$61,[1]!juhe($T$7,6),$C70,0)</f>
        <v>8.0736576209092075</v>
      </c>
      <c r="L70" s="12">
        <f ca="1">[1]!ripe(L$61,[1]!juhe($T$7,6),$C70,0)</f>
        <v>8.2372345544448073</v>
      </c>
      <c r="M70" s="12">
        <f ca="1">[1]!ripe(M$61,[1]!juhe($T$7,6),$C70,0)</f>
        <v>8.3997944466818453</v>
      </c>
      <c r="N70" s="12">
        <f ca="1">[1]!ripe(N$61,[1]!juhe($T$7,6),$C70,0)</f>
        <v>8.5612681484337099</v>
      </c>
      <c r="O70" s="117"/>
      <c r="Q70" s="142" t="s">
        <v>206</v>
      </c>
      <c r="R70">
        <v>44</v>
      </c>
      <c r="S70"/>
      <c r="T70"/>
      <c r="U70"/>
      <c r="V70"/>
      <c r="W70"/>
      <c r="X70"/>
      <c r="Y70"/>
      <c r="Z70"/>
    </row>
    <row r="71" spans="1:29" s="114" customFormat="1" hidden="1" x14ac:dyDescent="0.2">
      <c r="A71" s="187">
        <v>8</v>
      </c>
      <c r="B71" s="188" t="str">
        <f ca="1">R72</f>
        <v>133Y- 137Y</v>
      </c>
      <c r="C71" s="189">
        <f ca="1">S72</f>
        <v>469.49775693170682</v>
      </c>
      <c r="D71" s="118" t="s">
        <v>130</v>
      </c>
      <c r="E71" s="119">
        <f ca="1">[1]!Olekuvorrand($C71,$T72,$Y72,$X72,$W72,E$4,[1]!juhe($T72,6),TRUE)</f>
        <v>74.06991720199585</v>
      </c>
      <c r="F71" s="119">
        <f ca="1">[1]!Olekuvorrand($C71,$T72,$Y72,$X72,$W72,F$4,[1]!juhe($T72,6),TRUE)</f>
        <v>72.714269161224365</v>
      </c>
      <c r="G71" s="119">
        <f ca="1">[1]!Olekuvorrand($C71,$T72,$Y72,$X72,$W72,G$4,[1]!juhe($T72,6),TRUE)</f>
        <v>71.414411067962646</v>
      </c>
      <c r="H71" s="119">
        <f ca="1">[1]!Olekuvorrand($C71,$T72,$Y72,$X72,$W72,H$4,[1]!juhe($T72,6),TRUE)</f>
        <v>70.167362689971924</v>
      </c>
      <c r="I71" s="119">
        <f ca="1">[1]!Olekuvorrand($C71,$T72,$Y72,$X72,$W72,I$4,[1]!juhe($T72,6),TRUE)</f>
        <v>68.970382213592529</v>
      </c>
      <c r="J71" s="119">
        <f ca="1">[1]!Olekuvorrand($C71,$T72,$Y72,$X72,$W72,J$4,[1]!juhe($T72,6),TRUE)</f>
        <v>67.821085453033447</v>
      </c>
      <c r="K71" s="119">
        <f ca="1">[1]!Olekuvorrand($C71,$T72,$Y72,$X72,$W72,K$4,[1]!juhe($T72,6),TRUE)</f>
        <v>66.71673059463501</v>
      </c>
      <c r="L71" s="119">
        <f ca="1">[1]!Olekuvorrand($C71,$T72,$Y72,$X72,$W72,L$4,[1]!juhe($T72,6),TRUE)</f>
        <v>65.655052661895752</v>
      </c>
      <c r="M71" s="119">
        <f ca="1">[1]!Olekuvorrand($C71,$T72,$Y72,$X72,$W72,M$4,[1]!juhe($T72,6),TRUE)</f>
        <v>64.634025096893311</v>
      </c>
      <c r="N71" s="119">
        <f ca="1">[1]!Olekuvorrand($C71,$T72,$Y72,$X72,$W72,N$4,[1]!juhe($T72,6),TRUE)</f>
        <v>63.65126371383667</v>
      </c>
      <c r="O71" s="190">
        <f ca="1">U72</f>
        <v>65</v>
      </c>
      <c r="P71" s="221"/>
      <c r="Q71" s="142" t="s">
        <v>205</v>
      </c>
      <c r="R71"/>
      <c r="S71"/>
      <c r="T71"/>
      <c r="U71"/>
      <c r="V71"/>
      <c r="W71"/>
      <c r="X71"/>
      <c r="Y71"/>
      <c r="Z71"/>
    </row>
    <row r="72" spans="1:29" s="114" customFormat="1" x14ac:dyDescent="0.2">
      <c r="A72" s="187"/>
      <c r="B72" s="188"/>
      <c r="C72" s="189"/>
      <c r="D72" s="118" t="s">
        <v>32</v>
      </c>
      <c r="E72" s="119">
        <f ca="1">E71*[1]!juhe($T72,2)/10</f>
        <v>2080.179554700851</v>
      </c>
      <c r="F72" s="119">
        <f ca="1">F71*[1]!juhe($T72,2)/10</f>
        <v>2042.1075351238251</v>
      </c>
      <c r="G72" s="119">
        <f ca="1">G71*[1]!juhe($T72,2)/10</f>
        <v>2005.602320432663</v>
      </c>
      <c r="H72" s="119">
        <f ca="1">H71*[1]!juhe($T72,2)/10</f>
        <v>1970.5802137851715</v>
      </c>
      <c r="I72" s="119">
        <f ca="1">I71*[1]!juhe($T72,2)/10</f>
        <v>1936.9642140865326</v>
      </c>
      <c r="J72" s="119">
        <f ca="1">J71*[1]!juhe($T72,2)/10</f>
        <v>1904.6873638629913</v>
      </c>
      <c r="K72" s="119">
        <f ca="1">K71*[1]!juhe($T72,2)/10</f>
        <v>1873.6726620197296</v>
      </c>
      <c r="L72" s="119">
        <f ca="1">L71*[1]!juhe($T72,2)/10</f>
        <v>1843.8564989566803</v>
      </c>
      <c r="M72" s="119">
        <f ca="1">M71*[1]!juhe($T72,2)/10</f>
        <v>1815.1819608211517</v>
      </c>
      <c r="N72" s="119">
        <f ca="1">N71*[1]!juhe($T72,2)/10</f>
        <v>1787.582090139389</v>
      </c>
      <c r="O72" s="190"/>
      <c r="P72" s="221"/>
      <c r="Q72" s="142" t="s">
        <v>207</v>
      </c>
      <c r="R72" s="129" t="str">
        <f ca="1">INDIRECT("'"&amp;$S$1&amp;"'!"&amp;$Q72&amp;R$4)</f>
        <v>133Y- 137Y</v>
      </c>
      <c r="S72" s="129">
        <f ca="1">INDIRECT("'"&amp;$S$1&amp;"'!"&amp;$Q72&amp;S$4)</f>
        <v>469.49775693170682</v>
      </c>
      <c r="T72" s="129" t="str">
        <f ca="1">INDIRECT("'"&amp;$S$1&amp;"'!"&amp;$Q72&amp;T$4)</f>
        <v>242-Al1/39-ST1A Hawk</v>
      </c>
      <c r="U72" s="129">
        <f ca="1">INDIRECT("'"&amp;$S$1&amp;"'!"&amp;$Q72&amp;U$4)</f>
        <v>65</v>
      </c>
      <c r="V72" s="129">
        <f ca="1">INDIRECT("'"&amp;$S$1&amp;"'!"&amp;$Q72&amp;V$4)</f>
        <v>5</v>
      </c>
      <c r="W72" s="129">
        <f ca="1">INDIRECT("'"&amp;$S$1&amp;"'!"&amp;$Q72&amp;W$4)</f>
        <v>8.1108585163018915E-2</v>
      </c>
      <c r="X72" s="129">
        <f ca="1">INDIRECT("'"&amp;$S$1&amp;"'!"&amp;$Q72&amp;X$4)</f>
        <v>-5</v>
      </c>
      <c r="Y72" s="129">
        <f ca="1">INDIRECT("'"&amp;$S$1&amp;"'!"&amp;$Q72&amp;Y$4)</f>
        <v>136.39849424362183</v>
      </c>
      <c r="Z72" s="129">
        <v>2</v>
      </c>
    </row>
    <row r="73" spans="1:29" s="114" customFormat="1" x14ac:dyDescent="0.2">
      <c r="A73" s="187"/>
      <c r="B73" s="188"/>
      <c r="C73" s="189"/>
      <c r="D73" s="118" t="str">
        <f>CONCATENATE(Z72,"T, [daN]")</f>
        <v>2T, [daN]</v>
      </c>
      <c r="E73" s="119">
        <f ca="1">E72*$Z72</f>
        <v>4160.359109401702</v>
      </c>
      <c r="F73" s="119">
        <f t="shared" ref="F73:N73" ca="1" si="25">F72*$Z72</f>
        <v>4084.2150702476501</v>
      </c>
      <c r="G73" s="119">
        <f t="shared" ca="1" si="25"/>
        <v>4011.2046408653259</v>
      </c>
      <c r="H73" s="119">
        <f t="shared" ca="1" si="25"/>
        <v>3941.160427570343</v>
      </c>
      <c r="I73" s="119">
        <f t="shared" ca="1" si="25"/>
        <v>3873.9284281730652</v>
      </c>
      <c r="J73" s="119">
        <f t="shared" ca="1" si="25"/>
        <v>3809.3747277259827</v>
      </c>
      <c r="K73" s="119">
        <f t="shared" ca="1" si="25"/>
        <v>3747.3453240394592</v>
      </c>
      <c r="L73" s="119">
        <f t="shared" ca="1" si="25"/>
        <v>3687.7129979133606</v>
      </c>
      <c r="M73" s="119">
        <f t="shared" ca="1" si="25"/>
        <v>3630.3639216423035</v>
      </c>
      <c r="N73" s="119">
        <f t="shared" ca="1" si="25"/>
        <v>3575.1641802787781</v>
      </c>
      <c r="O73" s="190"/>
      <c r="P73" s="221"/>
      <c r="Q73" s="142" t="s">
        <v>207</v>
      </c>
      <c r="R73"/>
      <c r="S73"/>
      <c r="T73"/>
      <c r="U73"/>
      <c r="V73"/>
      <c r="W73"/>
      <c r="X73"/>
      <c r="Y73"/>
      <c r="Z73"/>
    </row>
    <row r="74" spans="1:29" s="114" customFormat="1" x14ac:dyDescent="0.2">
      <c r="A74" s="187"/>
      <c r="B74" s="188"/>
      <c r="C74" s="189"/>
      <c r="D74" s="118" t="s">
        <v>31</v>
      </c>
      <c r="E74" s="120">
        <f ca="1">[1]!ripe([1]!Olekuvorrand($C71,$T72,$Y72,$X72,$W72,E$4,[1]!juhe($T72,6),TRUE),[1]!juhe($T72,6),$C71,0)</f>
        <v>12.610575176589702</v>
      </c>
      <c r="F74" s="120">
        <f ca="1">[1]!ripe([1]!Olekuvorrand($C71,$T72,$Y72,$X72,$W72,F$4,[1]!juhe($T72,6),TRUE),[1]!juhe($T72,6),$C71,0)</f>
        <v>12.845680359222296</v>
      </c>
      <c r="G74" s="120">
        <f ca="1">[1]!ripe([1]!Olekuvorrand($C71,$T72,$Y72,$X72,$W72,G$4,[1]!juhe($T72,6),TRUE),[1]!juhe($T72,6),$C71,0)</f>
        <v>13.079492573433482</v>
      </c>
      <c r="H74" s="120">
        <f ca="1">[1]!ripe([1]!Olekuvorrand($C71,$T72,$Y72,$X72,$W72,H$4,[1]!juhe($T72,6),TRUE),[1]!juhe($T72,6),$C71,0)</f>
        <v>13.311947654732599</v>
      </c>
      <c r="I74" s="120">
        <f ca="1">[1]!ripe([1]!Olekuvorrand($C71,$T72,$Y72,$X72,$W72,I$4,[1]!juhe($T72,6),TRUE),[1]!juhe($T72,6),$C71,0)</f>
        <v>13.542976408436665</v>
      </c>
      <c r="J74" s="120">
        <f ca="1">[1]!ripe([1]!Olekuvorrand($C71,$T72,$Y72,$X72,$W72,J$4,[1]!juhe($T72,6),TRUE),[1]!juhe($T72,6),$C71,0)</f>
        <v>13.772475815745961</v>
      </c>
      <c r="K74" s="120">
        <f ca="1">[1]!ripe([1]!Olekuvorrand($C71,$T72,$Y72,$X72,$W72,K$4,[1]!juhe($T72,6),TRUE),[1]!juhe($T72,6),$C71,0)</f>
        <v>14.000450125094345</v>
      </c>
      <c r="L74" s="120">
        <f ca="1">[1]!ripe([1]!Olekuvorrand($C71,$T72,$Y72,$X72,$W72,L$4,[1]!juhe($T72,6),TRUE),[1]!juhe($T72,6),$C71,0)</f>
        <v>14.22684502302816</v>
      </c>
      <c r="M74" s="120">
        <f ca="1">[1]!ripe([1]!Olekuvorrand($C71,$T72,$Y72,$X72,$W72,M$4,[1]!juhe($T72,6),TRUE),[1]!juhe($T72,6),$C71,0)</f>
        <v>14.451587345817954</v>
      </c>
      <c r="N74" s="120">
        <f ca="1">[1]!ripe([1]!Olekuvorrand($C71,$T72,$Y72,$X72,$W72,N$4,[1]!juhe($T72,6),TRUE),[1]!juhe($T72,6),$C71,0)</f>
        <v>14.674716646615362</v>
      </c>
      <c r="O74" s="190"/>
      <c r="P74" s="221"/>
      <c r="Q74" s="142" t="s">
        <v>207</v>
      </c>
      <c r="R74"/>
      <c r="S74"/>
      <c r="T74"/>
      <c r="U74"/>
      <c r="V74"/>
      <c r="W74"/>
      <c r="X74"/>
      <c r="Y74"/>
      <c r="Z74"/>
    </row>
    <row r="75" spans="1:29" s="114" customFormat="1" x14ac:dyDescent="0.2">
      <c r="A75" s="187"/>
      <c r="B75" s="188"/>
      <c r="C75" s="189"/>
      <c r="D75" s="118" t="s">
        <v>195</v>
      </c>
      <c r="E75" s="120">
        <f ca="1">[1]!ripe([1]!Olekuvorrand($C71,$T72,$Y72,$X72,$W72,E$4,[1]!juhe($T72,6)),[1]!juhe($T72,6),$C71,0)</f>
        <v>13.177243948877505</v>
      </c>
      <c r="F75" s="120">
        <f ca="1">[1]!ripe([1]!Olekuvorrand($C71,$T72,$Y72,$X72,$W72,F$4,[1]!juhe($T72,6)),[1]!juhe($T72,6),$C71,0)</f>
        <v>13.420040946477165</v>
      </c>
      <c r="G75" s="120">
        <f ca="1">[1]!ripe([1]!Olekuvorrand($C71,$T72,$Y72,$X72,$W72,G$4,[1]!juhe($T72,6)),[1]!juhe($T72,6),$C71,0)</f>
        <v>13.660750146641671</v>
      </c>
      <c r="H75" s="120">
        <f ca="1">[1]!ripe([1]!Olekuvorrand($C71,$T72,$Y72,$X72,$W72,H$4,[1]!juhe($T72,6)),[1]!juhe($T72,6),$C71,0)</f>
        <v>13.899370208344878</v>
      </c>
      <c r="I75" s="120">
        <f ca="1">[1]!ripe([1]!Olekuvorrand($C71,$T72,$Y72,$X72,$W72,I$4,[1]!juhe($T72,6)),[1]!juhe($T72,6),$C71,0)</f>
        <v>14.135857811950693</v>
      </c>
      <c r="J75" s="120">
        <f ca="1">[1]!ripe([1]!Olekuvorrand($C71,$T72,$Y72,$X72,$W72,J$4,[1]!juhe($T72,6)),[1]!juhe($T72,6),$C71,0)</f>
        <v>14.370219899397192</v>
      </c>
      <c r="K75" s="120">
        <f ca="1">[1]!ripe([1]!Olekuvorrand($C71,$T72,$Y72,$X72,$W72,K$4,[1]!juhe($T72,6)),[1]!juhe($T72,6),$C71,0)</f>
        <v>14.602435417895395</v>
      </c>
      <c r="L75" s="120">
        <f ca="1">[1]!ripe([1]!Olekuvorrand($C71,$T72,$Y72,$X72,$W72,L$4,[1]!juhe($T72,6)),[1]!juhe($T72,6),$C71,0)</f>
        <v>14.832557837585529</v>
      </c>
      <c r="M75" s="120">
        <f ca="1">[1]!ripe([1]!Olekuvorrand($C71,$T72,$Y72,$X72,$W72,M$4,[1]!juhe($T72,6)),[1]!juhe($T72,6),$C71,0)</f>
        <v>15.060577565176555</v>
      </c>
      <c r="N75" s="120">
        <f ca="1">[1]!ripe([1]!Olekuvorrand($C71,$T72,$Y72,$X72,$W72,N$4,[1]!juhe($T72,6)),[1]!juhe($T72,6),$C71,0)</f>
        <v>15.286466763046297</v>
      </c>
      <c r="O75" s="190"/>
      <c r="P75" s="221"/>
      <c r="Q75" s="142" t="s">
        <v>207</v>
      </c>
      <c r="R75"/>
      <c r="S75"/>
      <c r="T75"/>
      <c r="U75"/>
      <c r="V75"/>
      <c r="W75"/>
      <c r="X75"/>
      <c r="Y75"/>
      <c r="Z75"/>
      <c r="AC75" s="121"/>
    </row>
    <row r="76" spans="1:29" x14ac:dyDescent="0.2">
      <c r="A76" s="105"/>
      <c r="B76" s="113" t="str">
        <f t="shared" ref="B76" ca="1" si="26">INDIRECT("Visangud!C" &amp; R76)</f>
        <v>133Y-134Y</v>
      </c>
      <c r="C76" s="106">
        <f t="shared" ref="C76" ca="1" si="27">INDIRECT("Visangud!"&amp;Q76&amp;R76)</f>
        <v>474.33886125844168</v>
      </c>
      <c r="D76" s="10" t="s">
        <v>31</v>
      </c>
      <c r="E76" s="12">
        <f ca="1">[1]!ripe(E$71,[1]!juhe($T$7,6),$C76,0)</f>
        <v>12.871977303329151</v>
      </c>
      <c r="F76" s="12">
        <f ca="1">[1]!ripe(F$71,[1]!juhe($T$7,6),$C76,0)</f>
        <v>13.111955934943021</v>
      </c>
      <c r="G76" s="12">
        <f ca="1">[1]!ripe(G$71,[1]!juhe($T$7,6),$C76,0)</f>
        <v>13.350614796447974</v>
      </c>
      <c r="H76" s="12">
        <f ca="1">[1]!ripe(H$71,[1]!juhe($T$7,6),$C76,0)</f>
        <v>13.587888393300272</v>
      </c>
      <c r="I76" s="12">
        <f ca="1">[1]!ripe(I$71,[1]!juhe($T$7,6),$C76,0)</f>
        <v>13.823706096493995</v>
      </c>
      <c r="J76" s="12">
        <f ca="1">[1]!ripe(J$71,[1]!juhe($T$7,6),$C76,0)</f>
        <v>14.057962751773033</v>
      </c>
      <c r="K76" s="12">
        <f ca="1">[1]!ripe(K$71,[1]!juhe($T$7,6),$C76,0)</f>
        <v>14.290662695636188</v>
      </c>
      <c r="L76" s="12">
        <f ca="1">[1]!ripe(L$71,[1]!juhe($T$7,6),$C76,0)</f>
        <v>14.521750488776934</v>
      </c>
      <c r="M76" s="12">
        <f ca="1">[1]!ripe(M$71,[1]!juhe($T$7,6),$C76,0)</f>
        <v>14.751151450869292</v>
      </c>
      <c r="N76" s="12">
        <f ca="1">[1]!ripe(N$71,[1]!juhe($T$7,6),$C76,0)</f>
        <v>14.978905954954385</v>
      </c>
      <c r="O76" s="107"/>
      <c r="Q76" s="142" t="s">
        <v>207</v>
      </c>
      <c r="R76">
        <v>45</v>
      </c>
      <c r="S76"/>
      <c r="T76"/>
      <c r="U76"/>
      <c r="V76"/>
      <c r="W76"/>
      <c r="X76"/>
      <c r="Y76"/>
      <c r="Z76"/>
      <c r="AC76" s="11"/>
    </row>
    <row r="77" spans="1:29" x14ac:dyDescent="0.2">
      <c r="A77" s="108"/>
      <c r="B77" s="113" t="str">
        <f t="shared" ref="B77:B79" ca="1" si="28">INDIRECT("Visangud!C" &amp; R77)</f>
        <v>134Y-135Y</v>
      </c>
      <c r="C77" s="106">
        <f t="shared" ref="C77:C79" ca="1" si="29">INDIRECT("Visangud!"&amp;Q77&amp;R77)</f>
        <v>492.19301752466902</v>
      </c>
      <c r="D77" s="10" t="s">
        <v>31</v>
      </c>
      <c r="E77" s="12">
        <f ca="1">[1]!ripe(E$71,[1]!juhe($T$7,6),$C77,0)</f>
        <v>13.859218719583705</v>
      </c>
      <c r="F77" s="12">
        <f ca="1">[1]!ripe(F$71,[1]!juhe($T$7,6),$C77,0)</f>
        <v>14.117602980617384</v>
      </c>
      <c r="G77" s="12">
        <f ca="1">[1]!ripe(G$71,[1]!juhe($T$7,6),$C77,0)</f>
        <v>14.374566249198391</v>
      </c>
      <c r="H77" s="12">
        <f ca="1">[1]!ripe(H$71,[1]!juhe($T$7,6),$C77,0)</f>
        <v>14.630038007551152</v>
      </c>
      <c r="I77" s="12">
        <f ca="1">[1]!ripe(I$71,[1]!juhe($T$7,6),$C77,0)</f>
        <v>14.88394220964032</v>
      </c>
      <c r="J77" s="12">
        <f ca="1">[1]!ripe(J$71,[1]!juhe($T$7,6),$C77,0)</f>
        <v>15.136165636198928</v>
      </c>
      <c r="K77" s="12">
        <f ca="1">[1]!ripe(K$71,[1]!juhe($T$7,6),$C77,0)</f>
        <v>15.386712956322015</v>
      </c>
      <c r="L77" s="12">
        <f ca="1">[1]!ripe(L$71,[1]!juhe($T$7,6),$C77,0)</f>
        <v>15.635524478677263</v>
      </c>
      <c r="M77" s="12">
        <f ca="1">[1]!ripe(M$71,[1]!juhe($T$7,6),$C77,0)</f>
        <v>15.882519795185368</v>
      </c>
      <c r="N77" s="12">
        <f ca="1">[1]!ripe(N$71,[1]!juhe($T$7,6),$C77,0)</f>
        <v>16.12774237537662</v>
      </c>
      <c r="O77" s="117"/>
      <c r="Q77" s="142" t="s">
        <v>207</v>
      </c>
      <c r="R77">
        <v>46</v>
      </c>
      <c r="S77"/>
      <c r="T77"/>
      <c r="U77"/>
      <c r="V77"/>
      <c r="W77"/>
      <c r="X77"/>
      <c r="Y77"/>
      <c r="Z77"/>
    </row>
    <row r="78" spans="1:29" x14ac:dyDescent="0.2">
      <c r="A78" s="108"/>
      <c r="B78" s="113" t="str">
        <f t="shared" ca="1" si="28"/>
        <v>135Y-136Y</v>
      </c>
      <c r="C78" s="106">
        <f t="shared" ca="1" si="29"/>
        <v>492.2440911783234</v>
      </c>
      <c r="D78" s="10" t="s">
        <v>31</v>
      </c>
      <c r="E78" s="12">
        <f ca="1">[1]!ripe(E$71,[1]!juhe($T$7,6),$C78,0)</f>
        <v>13.862095142600907</v>
      </c>
      <c r="F78" s="12">
        <f ca="1">[1]!ripe(F$71,[1]!juhe($T$7,6),$C78,0)</f>
        <v>14.120533030209849</v>
      </c>
      <c r="G78" s="12">
        <f ca="1">[1]!ripe(G$71,[1]!juhe($T$7,6),$C78,0)</f>
        <v>14.377549630445062</v>
      </c>
      <c r="H78" s="12">
        <f ca="1">[1]!ripe(H$71,[1]!juhe($T$7,6),$C78,0)</f>
        <v>14.633074410895304</v>
      </c>
      <c r="I78" s="12">
        <f ca="1">[1]!ripe(I$71,[1]!juhe($T$7,6),$C78,0)</f>
        <v>14.887031309742193</v>
      </c>
      <c r="J78" s="12">
        <f ca="1">[1]!ripe(J$71,[1]!juhe($T$7,6),$C78,0)</f>
        <v>15.139307084220572</v>
      </c>
      <c r="K78" s="12">
        <f ca="1">[1]!ripe(K$71,[1]!juhe($T$7,6),$C78,0)</f>
        <v>15.389906404394534</v>
      </c>
      <c r="L78" s="12">
        <f ca="1">[1]!ripe(L$71,[1]!juhe($T$7,6),$C78,0)</f>
        <v>15.638769566543072</v>
      </c>
      <c r="M78" s="12">
        <f ca="1">[1]!ripe(M$71,[1]!juhe($T$7,6),$C78,0)</f>
        <v>15.885816145898522</v>
      </c>
      <c r="N78" s="12">
        <f ca="1">[1]!ripe(N$71,[1]!juhe($T$7,6),$C78,0)</f>
        <v>16.131089621013093</v>
      </c>
      <c r="O78" s="117"/>
      <c r="Q78" s="142" t="s">
        <v>207</v>
      </c>
      <c r="R78">
        <v>47</v>
      </c>
      <c r="S78"/>
      <c r="T78"/>
      <c r="U78"/>
      <c r="V78"/>
      <c r="W78"/>
      <c r="X78"/>
      <c r="Y78"/>
      <c r="Z78"/>
    </row>
    <row r="79" spans="1:29" x14ac:dyDescent="0.2">
      <c r="A79" s="108"/>
      <c r="B79" s="113" t="str">
        <f t="shared" ca="1" si="28"/>
        <v>136Y-137Y</v>
      </c>
      <c r="C79" s="106">
        <f t="shared" ca="1" si="29"/>
        <v>401.88288007822365</v>
      </c>
      <c r="D79" s="10" t="s">
        <v>31</v>
      </c>
      <c r="E79" s="12">
        <f ca="1">[1]!ripe(E$71,[1]!juhe($T$7,6),$C79,0)</f>
        <v>9.2398913386414936</v>
      </c>
      <c r="F79" s="12">
        <f ca="1">[1]!ripe(F$71,[1]!juhe($T$7,6),$C79,0)</f>
        <v>9.4121551973677295</v>
      </c>
      <c r="G79" s="12">
        <f ca="1">[1]!ripe(G$71,[1]!juhe($T$7,6),$C79,0)</f>
        <v>9.5834716855299114</v>
      </c>
      <c r="H79" s="12">
        <f ca="1">[1]!ripe(H$71,[1]!juhe($T$7,6),$C79,0)</f>
        <v>9.7537937891803619</v>
      </c>
      <c r="I79" s="12">
        <f ca="1">[1]!ripe(I$71,[1]!juhe($T$7,6),$C79,0)</f>
        <v>9.9230708087004675</v>
      </c>
      <c r="J79" s="12">
        <f ca="1">[1]!ripe(J$71,[1]!juhe($T$7,6),$C79,0)</f>
        <v>10.091227261211619</v>
      </c>
      <c r="K79" s="12">
        <f ca="1">[1]!ripe(K$71,[1]!juhe($T$7,6),$C79,0)</f>
        <v>10.258266259582712</v>
      </c>
      <c r="L79" s="12">
        <f ca="1">[1]!ripe(L$71,[1]!juhe($T$7,6),$C79,0)</f>
        <v>10.424148007816896</v>
      </c>
      <c r="M79" s="12">
        <f ca="1">[1]!ripe(M$71,[1]!juhe($T$7,6),$C79,0)</f>
        <v>10.58881889813652</v>
      </c>
      <c r="N79" s="12">
        <f ca="1">[1]!ripe(N$71,[1]!juhe($T$7,6),$C79,0)</f>
        <v>10.752307911521289</v>
      </c>
      <c r="O79" s="117"/>
      <c r="Q79" s="142" t="s">
        <v>207</v>
      </c>
      <c r="R79">
        <v>48</v>
      </c>
      <c r="S79"/>
      <c r="T79"/>
      <c r="U79"/>
      <c r="V79"/>
      <c r="W79"/>
      <c r="X79"/>
      <c r="Y79"/>
      <c r="Z79"/>
    </row>
    <row r="80" spans="1:29" s="114" customFormat="1" hidden="1" x14ac:dyDescent="0.2">
      <c r="A80" s="187">
        <v>9</v>
      </c>
      <c r="B80" s="188" t="str">
        <f ca="1">R81</f>
        <v>137Y- 144Y</v>
      </c>
      <c r="C80" s="189">
        <f ca="1">S81</f>
        <v>408.56484089595034</v>
      </c>
      <c r="D80" s="118" t="s">
        <v>130</v>
      </c>
      <c r="E80" s="119">
        <f ca="1">[1]!Olekuvorrand($C80,$T81,$Y81,$X81,$W81,E$4,[1]!juhe($T81,6),TRUE)</f>
        <v>76.430976390838623</v>
      </c>
      <c r="F80" s="119">
        <f ca="1">[1]!Olekuvorrand($C80,$T81,$Y81,$X81,$W81,F$4,[1]!juhe($T81,6),TRUE)</f>
        <v>74.66357946395874</v>
      </c>
      <c r="G80" s="119">
        <f ca="1">[1]!Olekuvorrand($C80,$T81,$Y81,$X81,$W81,G$4,[1]!juhe($T81,6),TRUE)</f>
        <v>72.979629039764404</v>
      </c>
      <c r="H80" s="119">
        <f ca="1">[1]!Olekuvorrand($C80,$T81,$Y81,$X81,$W81,H$4,[1]!juhe($T81,6),TRUE)</f>
        <v>71.374595165252686</v>
      </c>
      <c r="I80" s="119">
        <f ca="1">[1]!Olekuvorrand($C80,$T81,$Y81,$X81,$W81,I$4,[1]!juhe($T81,6),TRUE)</f>
        <v>69.844543933868408</v>
      </c>
      <c r="J80" s="119">
        <f ca="1">[1]!Olekuvorrand($C80,$T81,$Y81,$X81,$W81,J$4,[1]!juhe($T81,6),TRUE)</f>
        <v>68.385183811187744</v>
      </c>
      <c r="K80" s="119">
        <f ca="1">[1]!Olekuvorrand($C80,$T81,$Y81,$X81,$W81,K$4,[1]!juhe($T81,6),TRUE)</f>
        <v>66.992700099945068</v>
      </c>
      <c r="L80" s="119">
        <f ca="1">[1]!Olekuvorrand($C80,$T81,$Y81,$X81,$W81,L$4,[1]!juhe($T81,6),TRUE)</f>
        <v>65.663278102874756</v>
      </c>
      <c r="M80" s="119">
        <f ca="1">[1]!Olekuvorrand($C80,$T81,$Y81,$X81,$W81,M$4,[1]!juhe($T81,6),TRUE)</f>
        <v>64.393460750579834</v>
      </c>
      <c r="N80" s="119">
        <f ca="1">[1]!Olekuvorrand($C80,$T81,$Y81,$X81,$W81,N$4,[1]!juhe($T81,6),TRUE)</f>
        <v>63.17979097366333</v>
      </c>
      <c r="O80" s="190">
        <f ca="1">U81</f>
        <v>65</v>
      </c>
      <c r="P80" s="221"/>
      <c r="Q80" s="142" t="s">
        <v>205</v>
      </c>
      <c r="R80"/>
      <c r="S80"/>
      <c r="T80"/>
      <c r="U80"/>
      <c r="V80"/>
      <c r="W80"/>
      <c r="X80"/>
      <c r="Y80"/>
      <c r="Z80"/>
    </row>
    <row r="81" spans="1:29" s="114" customFormat="1" x14ac:dyDescent="0.2">
      <c r="A81" s="187"/>
      <c r="B81" s="188"/>
      <c r="C81" s="189"/>
      <c r="D81" s="118" t="s">
        <v>32</v>
      </c>
      <c r="E81" s="119">
        <f ca="1">E80*[1]!juhe($T81,2)/10</f>
        <v>2146.4875409603114</v>
      </c>
      <c r="F81" s="119">
        <f ca="1">F80*[1]!juhe($T81,2)/10</f>
        <v>2096.8519656658168</v>
      </c>
      <c r="G81" s="119">
        <f ca="1">G80*[1]!juhe($T81,2)/10</f>
        <v>2049.5599019527431</v>
      </c>
      <c r="H81" s="119">
        <f ca="1">H80*[1]!juhe($T81,2)/10</f>
        <v>2004.4841306209564</v>
      </c>
      <c r="I81" s="119">
        <f ca="1">I80*[1]!juhe($T81,2)/10</f>
        <v>1961.5141718387604</v>
      </c>
      <c r="J81" s="119">
        <f ca="1">J80*[1]!juhe($T81,2)/10</f>
        <v>1920.5295021533966</v>
      </c>
      <c r="K81" s="119">
        <f ca="1">K80*[1]!juhe($T81,2)/10</f>
        <v>1881.4229896068573</v>
      </c>
      <c r="L81" s="119">
        <f ca="1">L80*[1]!juhe($T81,2)/10</f>
        <v>1844.0875022411346</v>
      </c>
      <c r="M81" s="119">
        <f ca="1">M80*[1]!juhe($T81,2)/10</f>
        <v>1808.4259517192841</v>
      </c>
      <c r="N81" s="119">
        <f ca="1">N80*[1]!juhe($T81,2)/10</f>
        <v>1774.341249704361</v>
      </c>
      <c r="O81" s="190"/>
      <c r="P81" s="221"/>
      <c r="Q81" s="142" t="s">
        <v>208</v>
      </c>
      <c r="R81" s="129" t="str">
        <f ca="1">INDIRECT("'"&amp;$S$1&amp;"'!"&amp;$Q81&amp;R$4)</f>
        <v>137Y- 144Y</v>
      </c>
      <c r="S81" s="129">
        <f ca="1">INDIRECT("'"&amp;$S$1&amp;"'!"&amp;$Q81&amp;S$4)</f>
        <v>408.56484089595034</v>
      </c>
      <c r="T81" s="129" t="str">
        <f ca="1">INDIRECT("'"&amp;$S$1&amp;"'!"&amp;$Q81&amp;T$4)</f>
        <v>242-Al1/39-ST1A Hawk</v>
      </c>
      <c r="U81" s="129">
        <f ca="1">INDIRECT("'"&amp;$S$1&amp;"'!"&amp;$Q81&amp;U$4)</f>
        <v>65</v>
      </c>
      <c r="V81" s="129">
        <f ca="1">INDIRECT("'"&amp;$S$1&amp;"'!"&amp;$Q81&amp;V$4)</f>
        <v>5</v>
      </c>
      <c r="W81" s="129">
        <f ca="1">INDIRECT("'"&amp;$S$1&amp;"'!"&amp;$Q81&amp;W$4)</f>
        <v>8.1377051509772619E-2</v>
      </c>
      <c r="X81" s="129">
        <f ca="1">INDIRECT("'"&amp;$S$1&amp;"'!"&amp;$Q81&amp;X$4)</f>
        <v>-5</v>
      </c>
      <c r="Y81" s="129">
        <f ca="1">INDIRECT("'"&amp;$S$1&amp;"'!"&amp;$Q81&amp;Y$4)</f>
        <v>133.13871622085571</v>
      </c>
      <c r="Z81" s="129">
        <v>2</v>
      </c>
    </row>
    <row r="82" spans="1:29" s="114" customFormat="1" x14ac:dyDescent="0.2">
      <c r="A82" s="187"/>
      <c r="B82" s="188"/>
      <c r="C82" s="189"/>
      <c r="D82" s="118" t="str">
        <f>CONCATENATE(Z81,"T, [daN]")</f>
        <v>2T, [daN]</v>
      </c>
      <c r="E82" s="119">
        <f ca="1">E81*$Z81</f>
        <v>4292.9750819206229</v>
      </c>
      <c r="F82" s="119">
        <f t="shared" ref="F82:N82" ca="1" si="30">F81*$Z81</f>
        <v>4193.7039313316336</v>
      </c>
      <c r="G82" s="119">
        <f t="shared" ca="1" si="30"/>
        <v>4099.1198039054862</v>
      </c>
      <c r="H82" s="119">
        <f t="shared" ca="1" si="30"/>
        <v>4008.9682612419128</v>
      </c>
      <c r="I82" s="119">
        <f t="shared" ca="1" si="30"/>
        <v>3923.0283436775208</v>
      </c>
      <c r="J82" s="119">
        <f t="shared" ca="1" si="30"/>
        <v>3841.0590043067932</v>
      </c>
      <c r="K82" s="119">
        <f t="shared" ca="1" si="30"/>
        <v>3762.8459792137146</v>
      </c>
      <c r="L82" s="119">
        <f t="shared" ca="1" si="30"/>
        <v>3688.1750044822693</v>
      </c>
      <c r="M82" s="119">
        <f t="shared" ca="1" si="30"/>
        <v>3616.8519034385681</v>
      </c>
      <c r="N82" s="119">
        <f t="shared" ca="1" si="30"/>
        <v>3548.6824994087219</v>
      </c>
      <c r="O82" s="190"/>
      <c r="P82" s="221"/>
      <c r="Q82" s="142" t="s">
        <v>208</v>
      </c>
      <c r="R82"/>
      <c r="S82"/>
      <c r="T82"/>
      <c r="U82"/>
      <c r="V82"/>
      <c r="W82"/>
      <c r="X82"/>
      <c r="Y82"/>
      <c r="Z82"/>
    </row>
    <row r="83" spans="1:29" s="114" customFormat="1" x14ac:dyDescent="0.2">
      <c r="A83" s="187"/>
      <c r="B83" s="188"/>
      <c r="C83" s="189"/>
      <c r="D83" s="118" t="s">
        <v>31</v>
      </c>
      <c r="E83" s="120">
        <f ca="1">[1]!ripe([1]!Olekuvorrand($C80,$T81,$Y81,$X81,$W81,E$4,[1]!juhe($T81,6),TRUE),[1]!juhe($T81,6),$C80,0)</f>
        <v>9.2546987125628011</v>
      </c>
      <c r="F83" s="120">
        <f ca="1">[1]!ripe([1]!Olekuvorrand($C80,$T81,$Y81,$X81,$W81,F$4,[1]!juhe($T81,6),TRUE),[1]!juhe($T81,6),$C80,0)</f>
        <v>9.4737710659272452</v>
      </c>
      <c r="G83" s="120">
        <f ca="1">[1]!ripe([1]!Olekuvorrand($C80,$T81,$Y81,$X81,$W81,G$4,[1]!juhe($T81,6),TRUE),[1]!juhe($T81,6),$C80,0)</f>
        <v>9.6923712563515583</v>
      </c>
      <c r="H83" s="120">
        <f ca="1">[1]!ripe([1]!Olekuvorrand($C80,$T81,$Y81,$X81,$W81,H$4,[1]!juhe($T81,6),TRUE),[1]!juhe($T81,6),$C80,0)</f>
        <v>9.9103281379950907</v>
      </c>
      <c r="I83" s="120">
        <f ca="1">[1]!ripe([1]!Olekuvorrand($C80,$T81,$Y81,$X81,$W81,I$4,[1]!juhe($T81,6),TRUE),[1]!juhe($T81,6),$C80,0)</f>
        <v>10.127428986778909</v>
      </c>
      <c r="J83" s="120">
        <f ca="1">[1]!ripe([1]!Olekuvorrand($C80,$T81,$Y81,$X81,$W81,J$4,[1]!juhe($T81,6),TRUE),[1]!juhe($T81,6),$C80,0)</f>
        <v>10.343551327685267</v>
      </c>
      <c r="K83" s="120">
        <f ca="1">[1]!ripe([1]!Olekuvorrand($C80,$T81,$Y81,$X81,$W81,K$4,[1]!juhe($T81,6),TRUE),[1]!juhe($T81,6),$C80,0)</f>
        <v>10.558548285842146</v>
      </c>
      <c r="L83" s="120">
        <f ca="1">[1]!ripe([1]!Olekuvorrand($C80,$T81,$Y81,$X81,$W81,L$4,[1]!juhe($T81,6),TRUE),[1]!juhe($T81,6),$C80,0)</f>
        <v>10.772317180022791</v>
      </c>
      <c r="M83" s="120">
        <f ca="1">[1]!ripe([1]!Olekuvorrand($C80,$T81,$Y81,$X81,$W81,M$4,[1]!juhe($T81,6),TRUE),[1]!juhe($T81,6),$C80,0)</f>
        <v>10.984743645694531</v>
      </c>
      <c r="N83" s="120">
        <f ca="1">[1]!ripe([1]!Olekuvorrand($C80,$T81,$Y81,$X81,$W81,N$4,[1]!juhe($T81,6),TRUE),[1]!juhe($T81,6),$C80,0)</f>
        <v>11.195758135684098</v>
      </c>
      <c r="O83" s="190"/>
      <c r="P83" s="221"/>
      <c r="Q83" s="142" t="s">
        <v>208</v>
      </c>
      <c r="R83"/>
      <c r="S83"/>
      <c r="T83"/>
      <c r="U83"/>
      <c r="V83"/>
      <c r="W83"/>
      <c r="X83"/>
      <c r="Y83"/>
      <c r="Z83"/>
    </row>
    <row r="84" spans="1:29" s="114" customFormat="1" x14ac:dyDescent="0.2">
      <c r="A84" s="187"/>
      <c r="B84" s="188"/>
      <c r="C84" s="189"/>
      <c r="D84" s="118" t="s">
        <v>195</v>
      </c>
      <c r="E84" s="120">
        <f ca="1">[1]!ripe([1]!Olekuvorrand($C80,$T81,$Y81,$X81,$W81,E$4,[1]!juhe($T81,6)),[1]!juhe($T81,6),$C80,0)</f>
        <v>9.7439241790865605</v>
      </c>
      <c r="F84" s="120">
        <f ca="1">[1]!ripe([1]!Olekuvorrand($C80,$T81,$Y81,$X81,$W81,F$4,[1]!juhe($T81,6)),[1]!juhe($T81,6),$C80,0)</f>
        <v>9.9752041554239135</v>
      </c>
      <c r="G84" s="120">
        <f ca="1">[1]!ripe([1]!Olekuvorrand($C80,$T81,$Y81,$X81,$W81,G$4,[1]!juhe($T81,6)),[1]!juhe($T81,6),$C80,0)</f>
        <v>10.20476173658186</v>
      </c>
      <c r="H84" s="120">
        <f ca="1">[1]!ripe([1]!Olekuvorrand($C80,$T81,$Y81,$X81,$W81,H$4,[1]!juhe($T81,6)),[1]!juhe($T81,6),$C80,0)</f>
        <v>10.432535583261378</v>
      </c>
      <c r="I84" s="120">
        <f ca="1">[1]!ripe([1]!Olekuvorrand($C80,$T81,$Y81,$X81,$W81,I$4,[1]!juhe($T81,6)),[1]!juhe($T81,6),$C80,0)</f>
        <v>10.658384912491091</v>
      </c>
      <c r="J84" s="120">
        <f ca="1">[1]!ripe([1]!Olekuvorrand($C80,$T81,$Y81,$X81,$W81,J$4,[1]!juhe($T81,6)),[1]!juhe($T81,6),$C80,0)</f>
        <v>10.882241303838416</v>
      </c>
      <c r="K84" s="120">
        <f ca="1">[1]!ripe([1]!Olekuvorrand($C80,$T81,$Y81,$X81,$W81,K$4,[1]!juhe($T81,6)),[1]!juhe($T81,6),$C80,0)</f>
        <v>11.104074548479899</v>
      </c>
      <c r="L84" s="120">
        <f ca="1">[1]!ripe([1]!Olekuvorrand($C80,$T81,$Y81,$X81,$W81,L$4,[1]!juhe($T81,6)),[1]!juhe($T81,6),$C80,0)</f>
        <v>11.323826499242426</v>
      </c>
      <c r="M84" s="120">
        <f ca="1">[1]!ripe([1]!Olekuvorrand($C80,$T81,$Y81,$X81,$W81,M$4,[1]!juhe($T81,6)),[1]!juhe($T81,6),$C80,0)</f>
        <v>11.541463838787749</v>
      </c>
      <c r="N84" s="120">
        <f ca="1">[1]!ripe([1]!Olekuvorrand($C80,$T81,$Y81,$X81,$W81,N$4,[1]!juhe($T81,6)),[1]!juhe($T81,6),$C80,0)</f>
        <v>11.756998501478199</v>
      </c>
      <c r="O84" s="190"/>
      <c r="P84" s="221"/>
      <c r="Q84" s="142" t="s">
        <v>208</v>
      </c>
      <c r="R84"/>
      <c r="S84"/>
      <c r="T84"/>
      <c r="U84"/>
      <c r="V84"/>
      <c r="W84"/>
      <c r="X84"/>
      <c r="Y84"/>
      <c r="Z84"/>
      <c r="AC84" s="121"/>
    </row>
    <row r="85" spans="1:29" ht="14.25" customHeight="1" x14ac:dyDescent="0.2">
      <c r="A85" s="105"/>
      <c r="B85" s="113" t="str">
        <f t="shared" ref="B85" ca="1" si="31">INDIRECT("Visangud!C" &amp; R85)</f>
        <v>137Y-138Y</v>
      </c>
      <c r="C85" s="106">
        <f t="shared" ref="C85" ca="1" si="32">INDIRECT("Visangud!"&amp;Q85&amp;R85)</f>
        <v>337.62544054022163</v>
      </c>
      <c r="D85" s="10" t="s">
        <v>31</v>
      </c>
      <c r="E85" s="12">
        <f ca="1">[1]!ripe(E$80,[1]!juhe($T$7,6),$C85,0)</f>
        <v>6.3199061821295661</v>
      </c>
      <c r="F85" s="12">
        <f ca="1">[1]!ripe(F$80,[1]!juhe($T$7,6),$C85,0)</f>
        <v>6.4695076725035552</v>
      </c>
      <c r="G85" s="12">
        <f ca="1">[1]!ripe(G$80,[1]!juhe($T$7,6),$C85,0)</f>
        <v>6.6187867293141185</v>
      </c>
      <c r="H85" s="12">
        <f ca="1">[1]!ripe(H$80,[1]!juhe($T$7,6),$C85,0)</f>
        <v>6.7676264794257888</v>
      </c>
      <c r="I85" s="12">
        <f ca="1">[1]!ripe(I$80,[1]!juhe($T$7,6),$C85,0)</f>
        <v>6.9158816564972945</v>
      </c>
      <c r="J85" s="12">
        <f ca="1">[1]!ripe(J$80,[1]!juhe($T$7,6),$C85,0)</f>
        <v>7.0634686240272364</v>
      </c>
      <c r="K85" s="12">
        <f ca="1">[1]!ripe(K$80,[1]!juhe($T$7,6),$C85,0)</f>
        <v>7.2102870831900683</v>
      </c>
      <c r="L85" s="12">
        <f ca="1">[1]!ripe(L$80,[1]!juhe($T$7,6),$C85,0)</f>
        <v>7.3562669143914166</v>
      </c>
      <c r="M85" s="12">
        <f ca="1">[1]!ripe(M$80,[1]!juhe($T$7,6),$C85,0)</f>
        <v>7.5013300196683463</v>
      </c>
      <c r="N85" s="12">
        <f ca="1">[1]!ripe(N$80,[1]!juhe($T$7,6),$C85,0)</f>
        <v>7.6454289062148852</v>
      </c>
      <c r="O85" s="107"/>
      <c r="Q85" s="142" t="s">
        <v>208</v>
      </c>
      <c r="R85">
        <v>49</v>
      </c>
      <c r="S85"/>
      <c r="T85"/>
      <c r="U85"/>
      <c r="V85"/>
      <c r="W85"/>
      <c r="X85"/>
      <c r="Y85"/>
      <c r="Z85"/>
      <c r="AC85" s="11"/>
    </row>
    <row r="86" spans="1:29" ht="14.25" customHeight="1" x14ac:dyDescent="0.2">
      <c r="A86" s="153"/>
      <c r="B86" s="113" t="str">
        <f t="shared" ref="B86:B90" ca="1" si="33">INDIRECT("Visangud!C" &amp; R86)</f>
        <v>138Y-139Y</v>
      </c>
      <c r="C86" s="106">
        <f t="shared" ref="C86:C90" ca="1" si="34">INDIRECT("Visangud!"&amp;Q86&amp;R86)</f>
        <v>430.12785820032502</v>
      </c>
      <c r="D86" s="10" t="s">
        <v>31</v>
      </c>
      <c r="E86" s="12">
        <f ca="1">[1]!ripe(E$80,[1]!juhe($T$7,6),$C86,0)</f>
        <v>10.25735642196986</v>
      </c>
      <c r="F86" s="12">
        <f ca="1">[1]!ripe(F$80,[1]!juhe($T$7,6),$C86,0)</f>
        <v>10.500163160519708</v>
      </c>
      <c r="G86" s="12">
        <f ca="1">[1]!ripe(G$80,[1]!juhe($T$7,6),$C86,0)</f>
        <v>10.742446581810224</v>
      </c>
      <c r="H86" s="12">
        <f ca="1">[1]!ripe(H$80,[1]!juhe($T$7,6),$C86,0)</f>
        <v>10.984016997992871</v>
      </c>
      <c r="I86" s="12">
        <f ca="1">[1]!ripe(I$80,[1]!juhe($T$7,6),$C86,0)</f>
        <v>11.224638638378089</v>
      </c>
      <c r="J86" s="12">
        <f ca="1">[1]!ripe(J$80,[1]!juhe($T$7,6),$C86,0)</f>
        <v>11.464175758956388</v>
      </c>
      <c r="K86" s="12">
        <f ca="1">[1]!ripe(K$80,[1]!juhe($T$7,6),$C86,0)</f>
        <v>11.702465572374178</v>
      </c>
      <c r="L86" s="12">
        <f ca="1">[1]!ripe(L$80,[1]!juhe($T$7,6),$C86,0)</f>
        <v>11.939394272880088</v>
      </c>
      <c r="M86" s="12">
        <f ca="1">[1]!ripe(M$80,[1]!juhe($T$7,6),$C86,0)</f>
        <v>12.174835105642865</v>
      </c>
      <c r="N86" s="12">
        <f ca="1">[1]!ripe(N$80,[1]!juhe($T$7,6),$C86,0)</f>
        <v>12.408710988721053</v>
      </c>
      <c r="O86" s="154"/>
      <c r="Q86" s="142" t="s">
        <v>208</v>
      </c>
      <c r="R86">
        <v>50</v>
      </c>
      <c r="S86"/>
      <c r="T86"/>
      <c r="U86"/>
      <c r="V86"/>
      <c r="W86"/>
      <c r="X86"/>
      <c r="Y86"/>
      <c r="Z86"/>
      <c r="AC86" s="11"/>
    </row>
    <row r="87" spans="1:29" ht="14.25" customHeight="1" x14ac:dyDescent="0.2">
      <c r="A87" s="153"/>
      <c r="B87" s="113" t="str">
        <f t="shared" ref="B87:B88" ca="1" si="35">INDIRECT("Visangud!C" &amp; R87)</f>
        <v>139Y-140Y</v>
      </c>
      <c r="C87" s="106">
        <f t="shared" ref="C87:C88" ca="1" si="36">INDIRECT("Visangud!"&amp;Q87&amp;R87)</f>
        <v>430.12950840414629</v>
      </c>
      <c r="D87" s="10" t="s">
        <v>31</v>
      </c>
      <c r="E87" s="12">
        <f ca="1">[1]!ripe(E$80,[1]!juhe($T$7,6),$C87,0)</f>
        <v>10.257435127689153</v>
      </c>
      <c r="F87" s="12">
        <f ca="1">[1]!ripe(F$80,[1]!juhe($T$7,6),$C87,0)</f>
        <v>10.500243729319331</v>
      </c>
      <c r="G87" s="12">
        <f ca="1">[1]!ripe(G$80,[1]!juhe($T$7,6),$C87,0)</f>
        <v>10.742529009674715</v>
      </c>
      <c r="H87" s="12">
        <f ca="1">[1]!ripe(H$80,[1]!juhe($T$7,6),$C87,0)</f>
        <v>10.984101279451268</v>
      </c>
      <c r="I87" s="12">
        <f ca="1">[1]!ripe(I$80,[1]!juhe($T$7,6),$C87,0)</f>
        <v>11.224724766150342</v>
      </c>
      <c r="J87" s="12">
        <f ca="1">[1]!ripe(J$80,[1]!juhe($T$7,6),$C87,0)</f>
        <v>11.464263724720867</v>
      </c>
      <c r="K87" s="12">
        <f ca="1">[1]!ripe(K$80,[1]!juhe($T$7,6),$C87,0)</f>
        <v>11.702555366560173</v>
      </c>
      <c r="L87" s="12">
        <f ca="1">[1]!ripe(L$80,[1]!juhe($T$7,6),$C87,0)</f>
        <v>11.939485885043641</v>
      </c>
      <c r="M87" s="12">
        <f ca="1">[1]!ripe(M$80,[1]!juhe($T$7,6),$C87,0)</f>
        <v>12.17492852436742</v>
      </c>
      <c r="N87" s="12">
        <f ca="1">[1]!ripe(N$80,[1]!juhe($T$7,6),$C87,0)</f>
        <v>12.408806201998594</v>
      </c>
      <c r="O87" s="154"/>
      <c r="Q87" s="142" t="s">
        <v>208</v>
      </c>
      <c r="R87">
        <v>51</v>
      </c>
      <c r="S87"/>
      <c r="T87"/>
      <c r="U87"/>
      <c r="V87"/>
      <c r="W87"/>
      <c r="X87"/>
      <c r="Y87"/>
      <c r="Z87"/>
      <c r="AC87" s="11"/>
    </row>
    <row r="88" spans="1:29" ht="14.25" customHeight="1" x14ac:dyDescent="0.2">
      <c r="A88" s="153"/>
      <c r="B88" s="113" t="str">
        <f t="shared" ca="1" si="35"/>
        <v>140Y-141Y</v>
      </c>
      <c r="C88" s="106">
        <f t="shared" ca="1" si="36"/>
        <v>430.16843143122901</v>
      </c>
      <c r="D88" s="10" t="s">
        <v>31</v>
      </c>
      <c r="E88" s="12">
        <f ca="1">[1]!ripe(E$80,[1]!juhe($T$7,6),$C88,0)</f>
        <v>10.259291631285585</v>
      </c>
      <c r="F88" s="12">
        <f ca="1">[1]!ripe(F$80,[1]!juhe($T$7,6),$C88,0)</f>
        <v>10.502144179091056</v>
      </c>
      <c r="G88" s="12">
        <f ca="1">[1]!ripe(G$80,[1]!juhe($T$7,6),$C88,0)</f>
        <v>10.744473310905283</v>
      </c>
      <c r="H88" s="12">
        <f ca="1">[1]!ripe(H$80,[1]!juhe($T$7,6),$C88,0)</f>
        <v>10.986089303092173</v>
      </c>
      <c r="I88" s="12">
        <f ca="1">[1]!ripe(I$80,[1]!juhe($T$7,6),$C88,0)</f>
        <v>11.226756340480369</v>
      </c>
      <c r="J88" s="12">
        <f ca="1">[1]!ripe(J$80,[1]!juhe($T$7,6),$C88,0)</f>
        <v>11.466338653450169</v>
      </c>
      <c r="K88" s="12">
        <f ca="1">[1]!ripe(K$80,[1]!juhe($T$7,6),$C88,0)</f>
        <v>11.704673423935629</v>
      </c>
      <c r="L88" s="12">
        <f ca="1">[1]!ripe(L$80,[1]!juhe($T$7,6),$C88,0)</f>
        <v>11.941646824714155</v>
      </c>
      <c r="M88" s="12">
        <f ca="1">[1]!ripe(M$80,[1]!juhe($T$7,6),$C88,0)</f>
        <v>12.17713207704023</v>
      </c>
      <c r="N88" s="12">
        <f ca="1">[1]!ripe(N$80,[1]!juhe($T$7,6),$C88,0)</f>
        <v>12.411052084429697</v>
      </c>
      <c r="O88" s="154"/>
      <c r="Q88" s="142" t="s">
        <v>208</v>
      </c>
      <c r="R88">
        <v>52</v>
      </c>
      <c r="S88"/>
      <c r="T88"/>
      <c r="U88"/>
      <c r="V88"/>
      <c r="W88"/>
      <c r="X88"/>
      <c r="Y88"/>
      <c r="Z88"/>
      <c r="AC88" s="11"/>
    </row>
    <row r="89" spans="1:29" ht="14.25" customHeight="1" x14ac:dyDescent="0.2">
      <c r="A89" s="153"/>
      <c r="B89" s="113" t="str">
        <f t="shared" ca="1" si="33"/>
        <v>141Y-142Y</v>
      </c>
      <c r="C89" s="106">
        <f t="shared" ca="1" si="34"/>
        <v>402.92485614569125</v>
      </c>
      <c r="D89" s="10" t="s">
        <v>31</v>
      </c>
      <c r="E89" s="12">
        <f ca="1">[1]!ripe(E$80,[1]!juhe($T$7,6),$C89,0)</f>
        <v>9.0009515214216371</v>
      </c>
      <c r="F89" s="12">
        <f ca="1">[1]!ripe(F$80,[1]!juhe($T$7,6),$C89,0)</f>
        <v>9.2140173049290368</v>
      </c>
      <c r="G89" s="12">
        <f ca="1">[1]!ripe(G$80,[1]!juhe($T$7,6),$C89,0)</f>
        <v>9.4266238713547867</v>
      </c>
      <c r="H89" s="12">
        <f ca="1">[1]!ripe(H$80,[1]!juhe($T$7,6),$C89,0)</f>
        <v>9.6386047673693245</v>
      </c>
      <c r="I89" s="12">
        <f ca="1">[1]!ripe(I$80,[1]!juhe($T$7,6),$C89,0)</f>
        <v>9.8497531014053141</v>
      </c>
      <c r="J89" s="12">
        <f ca="1">[1]!ripe(J$80,[1]!juhe($T$7,6),$C89,0)</f>
        <v>10.059949756489679</v>
      </c>
      <c r="K89" s="12">
        <f ca="1">[1]!ripe(K$80,[1]!juhe($T$7,6),$C89,0)</f>
        <v>10.269051884795195</v>
      </c>
      <c r="L89" s="12">
        <f ca="1">[1]!ripe(L$80,[1]!juhe($T$7,6),$C89,0)</f>
        <v>10.476959620429632</v>
      </c>
      <c r="M89" s="12">
        <f ca="1">[1]!ripe(M$80,[1]!juhe($T$7,6),$C89,0)</f>
        <v>10.683561734530093</v>
      </c>
      <c r="N89" s="12">
        <f ca="1">[1]!ripe(N$80,[1]!juhe($T$7,6),$C89,0)</f>
        <v>10.88879058678169</v>
      </c>
      <c r="O89" s="154"/>
      <c r="Q89" s="142" t="s">
        <v>208</v>
      </c>
      <c r="R89">
        <v>53</v>
      </c>
      <c r="S89"/>
      <c r="T89"/>
      <c r="U89"/>
      <c r="V89"/>
      <c r="W89"/>
      <c r="X89"/>
      <c r="Y89"/>
      <c r="Z89"/>
      <c r="AC89" s="11"/>
    </row>
    <row r="90" spans="1:29" ht="14.25" customHeight="1" x14ac:dyDescent="0.2">
      <c r="A90" s="153"/>
      <c r="B90" s="113" t="str">
        <f t="shared" ca="1" si="33"/>
        <v>142Y-143Y</v>
      </c>
      <c r="C90" s="106">
        <f t="shared" ca="1" si="34"/>
        <v>403.02554720514649</v>
      </c>
      <c r="D90" s="10" t="s">
        <v>31</v>
      </c>
      <c r="E90" s="12">
        <f ca="1">[1]!ripe(E$80,[1]!juhe($T$7,6),$C90,0)</f>
        <v>9.0054507652643974</v>
      </c>
      <c r="F90" s="12">
        <f ca="1">[1]!ripe(F$80,[1]!juhe($T$7,6),$C90,0)</f>
        <v>9.2186230525022399</v>
      </c>
      <c r="G90" s="12">
        <f ca="1">[1]!ripe(G$80,[1]!juhe($T$7,6),$C90,0)</f>
        <v>9.43133589311274</v>
      </c>
      <c r="H90" s="12">
        <f ca="1">[1]!ripe(H$80,[1]!juhe($T$7,6),$C90,0)</f>
        <v>9.6434227505624559</v>
      </c>
      <c r="I90" s="12">
        <f ca="1">[1]!ripe(I$80,[1]!juhe($T$7,6),$C90,0)</f>
        <v>9.8546766298665833</v>
      </c>
      <c r="J90" s="12">
        <f ca="1">[1]!ripe(J$80,[1]!juhe($T$7,6),$C90,0)</f>
        <v>10.064978354509861</v>
      </c>
      <c r="K90" s="12">
        <f ca="1">[1]!ripe(K$80,[1]!juhe($T$7,6),$C90,0)</f>
        <v>10.274185005260703</v>
      </c>
      <c r="L90" s="12">
        <f ca="1">[1]!ripe(L$80,[1]!juhe($T$7,6),$C90,0)</f>
        <v>10.482196666307603</v>
      </c>
      <c r="M90" s="12">
        <f ca="1">[1]!ripe(M$80,[1]!juhe($T$7,6),$C90,0)</f>
        <v>10.688902053188453</v>
      </c>
      <c r="N90" s="12">
        <f ca="1">[1]!ripe(N$80,[1]!juhe($T$7,6),$C90,0)</f>
        <v>10.894233491777468</v>
      </c>
      <c r="O90" s="154"/>
      <c r="Q90" s="142" t="s">
        <v>208</v>
      </c>
      <c r="R90">
        <v>54</v>
      </c>
      <c r="S90"/>
      <c r="T90"/>
      <c r="U90"/>
      <c r="V90"/>
      <c r="W90"/>
      <c r="X90"/>
      <c r="Y90"/>
      <c r="Z90"/>
      <c r="AC90" s="11"/>
    </row>
    <row r="91" spans="1:29" x14ac:dyDescent="0.2">
      <c r="A91" s="108"/>
      <c r="B91" s="113" t="str">
        <f t="shared" ref="B91" ca="1" si="37">INDIRECT("Visangud!C" &amp; R91)</f>
        <v>143Y-144Y</v>
      </c>
      <c r="C91" s="106">
        <f t="shared" ref="C91" ca="1" si="38">INDIRECT("Visangud!"&amp;Q91&amp;R91)</f>
        <v>402.98537355589087</v>
      </c>
      <c r="D91" s="10" t="s">
        <v>31</v>
      </c>
      <c r="E91" s="12">
        <f ca="1">[1]!ripe(E$80,[1]!juhe($T$7,6),$C91,0)</f>
        <v>9.0036555252767236</v>
      </c>
      <c r="F91" s="12">
        <f ca="1">[1]!ripe(F$80,[1]!juhe($T$7,6),$C91,0)</f>
        <v>9.216785316539152</v>
      </c>
      <c r="G91" s="12">
        <f ca="1">[1]!ripe(G$80,[1]!juhe($T$7,6),$C91,0)</f>
        <v>9.4294557527650955</v>
      </c>
      <c r="H91" s="12">
        <f ca="1">[1]!ripe(H$80,[1]!juhe($T$7,6),$C91,0)</f>
        <v>9.6415003306202323</v>
      </c>
      <c r="I91" s="12">
        <f ca="1">[1]!ripe(I$80,[1]!juhe($T$7,6),$C91,0)</f>
        <v>9.8527120963842876</v>
      </c>
      <c r="J91" s="12">
        <f ca="1">[1]!ripe(J$80,[1]!juhe($T$7,6),$C91,0)</f>
        <v>10.062971897299882</v>
      </c>
      <c r="K91" s="12">
        <f ca="1">[1]!ripe(K$80,[1]!juhe($T$7,6),$C91,0)</f>
        <v>10.272136842626431</v>
      </c>
      <c r="L91" s="12">
        <f ca="1">[1]!ripe(L$80,[1]!juhe($T$7,6),$C91,0)</f>
        <v>10.480107036470683</v>
      </c>
      <c r="M91" s="12">
        <f ca="1">[1]!ripe(M$80,[1]!juhe($T$7,6),$C91,0)</f>
        <v>10.68677121655513</v>
      </c>
      <c r="N91" s="12">
        <f ca="1">[1]!ripe(N$80,[1]!juhe($T$7,6),$C91,0)</f>
        <v>10.892061722244851</v>
      </c>
      <c r="O91" s="117"/>
      <c r="Q91" s="142" t="s">
        <v>208</v>
      </c>
      <c r="R91">
        <v>55</v>
      </c>
      <c r="S91"/>
      <c r="T91"/>
      <c r="U91"/>
      <c r="V91"/>
      <c r="W91"/>
      <c r="X91"/>
      <c r="Y91"/>
      <c r="Z91"/>
    </row>
    <row r="92" spans="1:29" s="114" customFormat="1" x14ac:dyDescent="0.2">
      <c r="A92" s="187">
        <v>10</v>
      </c>
      <c r="B92" s="188" t="str">
        <f ca="1">R93</f>
        <v>144Y- 148Y</v>
      </c>
      <c r="C92" s="189">
        <f ca="1">S93</f>
        <v>466.6264206472535</v>
      </c>
      <c r="D92" s="118" t="s">
        <v>130</v>
      </c>
      <c r="E92" s="119">
        <f ca="1">[1]!Olekuvorrand($C92,$T93,$Y93,$X93,$W93,E$4,[1]!juhe($T93,6),TRUE)</f>
        <v>74.16611909866333</v>
      </c>
      <c r="F92" s="119">
        <f ca="1">[1]!Olekuvorrand($C92,$T93,$Y93,$X93,$W93,F$4,[1]!juhe($T93,6),TRUE)</f>
        <v>72.794020175933838</v>
      </c>
      <c r="G92" s="119">
        <f ca="1">[1]!Olekuvorrand($C92,$T93,$Y93,$X93,$W93,G$4,[1]!juhe($T93,6),TRUE)</f>
        <v>71.478664875030518</v>
      </c>
      <c r="H92" s="119">
        <f ca="1">[1]!Olekuvorrand($C92,$T93,$Y93,$X93,$W93,H$4,[1]!juhe($T93,6),TRUE)</f>
        <v>70.217311382293701</v>
      </c>
      <c r="I92" s="119">
        <f ca="1">[1]!Olekuvorrand($C92,$T93,$Y93,$X93,$W93,I$4,[1]!juhe($T93,6),TRUE)</f>
        <v>69.006979465484619</v>
      </c>
      <c r="J92" s="119">
        <f ca="1">[1]!Olekuvorrand($C92,$T93,$Y93,$X93,$W93,J$4,[1]!juhe($T93,6),TRUE)</f>
        <v>67.845046520233154</v>
      </c>
      <c r="K92" s="119">
        <f ca="1">[1]!Olekuvorrand($C92,$T93,$Y93,$X93,$W93,K$4,[1]!juhe($T93,6),TRUE)</f>
        <v>66.72900915145874</v>
      </c>
      <c r="L92" s="119">
        <f ca="1">[1]!Olekuvorrand($C92,$T93,$Y93,$X93,$W93,L$4,[1]!juhe($T93,6),TRUE)</f>
        <v>65.656483173370361</v>
      </c>
      <c r="M92" s="119">
        <f ca="1">[1]!Olekuvorrand($C92,$T93,$Y93,$X93,$W93,M$4,[1]!juhe($T93,6),TRUE)</f>
        <v>64.625203609466553</v>
      </c>
      <c r="N92" s="119">
        <f ca="1">[1]!Olekuvorrand($C92,$T93,$Y93,$X93,$W93,N$4,[1]!juhe($T93,6),TRUE)</f>
        <v>63.63290548324585</v>
      </c>
      <c r="O92" s="190">
        <f ca="1">U93</f>
        <v>65</v>
      </c>
      <c r="P92" s="221"/>
      <c r="Q92" s="142"/>
      <c r="R92"/>
      <c r="S92"/>
      <c r="T92"/>
      <c r="U92"/>
      <c r="V92"/>
      <c r="W92"/>
      <c r="X92"/>
      <c r="Y92"/>
      <c r="Z92"/>
    </row>
    <row r="93" spans="1:29" s="114" customFormat="1" x14ac:dyDescent="0.2">
      <c r="A93" s="187"/>
      <c r="B93" s="188"/>
      <c r="C93" s="189"/>
      <c r="D93" s="118" t="s">
        <v>32</v>
      </c>
      <c r="E93" s="119">
        <f ca="1">E92*[1]!juhe($T93,2)/10</f>
        <v>2082.8812887668605</v>
      </c>
      <c r="F93" s="119">
        <f ca="1">F92*[1]!juhe($T93,2)/10</f>
        <v>2044.3472626209254</v>
      </c>
      <c r="G93" s="119">
        <f ca="1">G92*[1]!juhe($T93,2)/10</f>
        <v>2007.4068243503571</v>
      </c>
      <c r="H93" s="119">
        <f ca="1">H92*[1]!juhe($T93,2)/10</f>
        <v>1971.9829728603363</v>
      </c>
      <c r="I93" s="119">
        <f ca="1">I92*[1]!juhe($T93,2)/10</f>
        <v>1937.99201130867</v>
      </c>
      <c r="J93" s="119">
        <f ca="1">J92*[1]!juhe($T93,2)/10</f>
        <v>1905.3602864742279</v>
      </c>
      <c r="K93" s="119">
        <f ca="1">K92*[1]!juhe($T93,2)/10</f>
        <v>1874.0174930095673</v>
      </c>
      <c r="L93" s="119">
        <f ca="1">L92*[1]!juhe($T93,2)/10</f>
        <v>1843.8966734409332</v>
      </c>
      <c r="M93" s="119">
        <f ca="1">M92*[1]!juhe($T93,2)/10</f>
        <v>1814.9342181682587</v>
      </c>
      <c r="N93" s="119">
        <f ca="1">N92*[1]!juhe($T93,2)/10</f>
        <v>1787.0665175914764</v>
      </c>
      <c r="O93" s="190"/>
      <c r="P93" s="221"/>
      <c r="Q93" s="142" t="s">
        <v>209</v>
      </c>
      <c r="R93" s="129" t="str">
        <f ca="1">INDIRECT("'"&amp;$S$1&amp;"'!"&amp;$Q93&amp;R$4)</f>
        <v>144Y- 148Y</v>
      </c>
      <c r="S93" s="129">
        <f ca="1">INDIRECT("'"&amp;$S$1&amp;"'!"&amp;$Q93&amp;S$4)</f>
        <v>466.6264206472535</v>
      </c>
      <c r="T93" s="129" t="str">
        <f ca="1">INDIRECT("'"&amp;$S$1&amp;"'!"&amp;$Q93&amp;T$4)</f>
        <v>242-Al1/39-ST1A Hawk</v>
      </c>
      <c r="U93" s="129">
        <f ca="1">INDIRECT("'"&amp;$S$1&amp;"'!"&amp;$Q93&amp;U$4)</f>
        <v>65</v>
      </c>
      <c r="V93" s="129">
        <f ca="1">INDIRECT("'"&amp;$S$1&amp;"'!"&amp;$Q93&amp;V$4)</f>
        <v>5</v>
      </c>
      <c r="W93" s="129">
        <f ca="1">INDIRECT("'"&amp;$S$1&amp;"'!"&amp;$Q93&amp;W$4)</f>
        <v>8.1120370455495763E-2</v>
      </c>
      <c r="X93" s="129">
        <f ca="1">INDIRECT("'"&amp;$S$1&amp;"'!"&amp;$Q93&amp;X$4)</f>
        <v>-5</v>
      </c>
      <c r="Y93" s="129">
        <f ca="1">INDIRECT("'"&amp;$S$1&amp;"'!"&amp;$Q93&amp;Y$4)</f>
        <v>136.26235723495483</v>
      </c>
      <c r="Z93" s="129">
        <v>2</v>
      </c>
    </row>
    <row r="94" spans="1:29" s="114" customFormat="1" x14ac:dyDescent="0.2">
      <c r="A94" s="187"/>
      <c r="B94" s="188"/>
      <c r="C94" s="189"/>
      <c r="D94" s="118" t="str">
        <f>CONCATENATE(Z93,"T, [daN]")</f>
        <v>2T, [daN]</v>
      </c>
      <c r="E94" s="119">
        <f ca="1">E93*$Z93</f>
        <v>4165.762577533721</v>
      </c>
      <c r="F94" s="119">
        <f t="shared" ref="F94:N94" ca="1" si="39">F93*$Z93</f>
        <v>4088.6945252418509</v>
      </c>
      <c r="G94" s="119">
        <f t="shared" ca="1" si="39"/>
        <v>4014.8136487007141</v>
      </c>
      <c r="H94" s="119">
        <f t="shared" ca="1" si="39"/>
        <v>3943.9659457206726</v>
      </c>
      <c r="I94" s="119">
        <f t="shared" ca="1" si="39"/>
        <v>3875.9840226173401</v>
      </c>
      <c r="J94" s="119">
        <f t="shared" ca="1" si="39"/>
        <v>3810.7205729484558</v>
      </c>
      <c r="K94" s="119">
        <f t="shared" ca="1" si="39"/>
        <v>3748.0349860191345</v>
      </c>
      <c r="L94" s="119">
        <f t="shared" ca="1" si="39"/>
        <v>3687.7933468818665</v>
      </c>
      <c r="M94" s="119">
        <f t="shared" ca="1" si="39"/>
        <v>3629.8684363365173</v>
      </c>
      <c r="N94" s="119">
        <f t="shared" ca="1" si="39"/>
        <v>3574.1330351829529</v>
      </c>
      <c r="O94" s="190"/>
      <c r="P94" s="221"/>
      <c r="Q94" s="142" t="s">
        <v>209</v>
      </c>
      <c r="R94"/>
      <c r="S94"/>
      <c r="T94"/>
      <c r="U94"/>
      <c r="V94"/>
      <c r="W94"/>
      <c r="X94"/>
      <c r="Y94"/>
      <c r="Z94"/>
    </row>
    <row r="95" spans="1:29" s="114" customFormat="1" x14ac:dyDescent="0.2">
      <c r="A95" s="187"/>
      <c r="B95" s="188"/>
      <c r="C95" s="189"/>
      <c r="D95" s="118" t="s">
        <v>31</v>
      </c>
      <c r="E95" s="120">
        <f ca="1">[1]!ripe([1]!Olekuvorrand($C92,$T93,$Y93,$X93,$W93,E$4,[1]!juhe($T93,6),TRUE),[1]!juhe($T93,6),$C92,0)</f>
        <v>12.440642417365483</v>
      </c>
      <c r="F95" s="120">
        <f ca="1">[1]!ripe([1]!Olekuvorrand($C92,$T93,$Y93,$X93,$W93,F$4,[1]!juhe($T93,6),TRUE),[1]!juhe($T93,6),$C92,0)</f>
        <v>12.675136844485657</v>
      </c>
      <c r="G95" s="120">
        <f ca="1">[1]!ripe([1]!Olekuvorrand($C92,$T93,$Y93,$X93,$W93,G$4,[1]!juhe($T93,6),TRUE),[1]!juhe($T93,6),$C92,0)</f>
        <v>12.908385583353656</v>
      </c>
      <c r="H95" s="120">
        <f ca="1">[1]!ripe([1]!Olekuvorrand($C92,$T93,$Y93,$X93,$W93,H$4,[1]!juhe($T93,6),TRUE),[1]!juhe($T93,6),$C92,0)</f>
        <v>13.140266253812685</v>
      </c>
      <c r="I95" s="120">
        <f ca="1">[1]!ripe([1]!Olekuvorrand($C92,$T93,$Y93,$X93,$W93,I$4,[1]!juhe($T93,6),TRUE),[1]!juhe($T93,6),$C92,0)</f>
        <v>13.370736907151651</v>
      </c>
      <c r="J95" s="120">
        <f ca="1">[1]!ripe([1]!Olekuvorrand($C92,$T93,$Y93,$X93,$W93,J$4,[1]!juhe($T93,6),TRUE),[1]!juhe($T93,6),$C92,0)</f>
        <v>13.599727828545978</v>
      </c>
      <c r="K95" s="120">
        <f ca="1">[1]!ripe([1]!Olekuvorrand($C92,$T93,$Y93,$X93,$W93,K$4,[1]!juhe($T93,6),TRUE),[1]!juhe($T93,6),$C92,0)</f>
        <v>13.827182194418079</v>
      </c>
      <c r="L95" s="120">
        <f ca="1">[1]!ripe([1]!Olekuvorrand($C92,$T93,$Y93,$X93,$W93,L$4,[1]!juhe($T93,6),TRUE),[1]!juhe($T93,6),$C92,0)</f>
        <v>14.053054970273507</v>
      </c>
      <c r="M95" s="120">
        <f ca="1">[1]!ripe([1]!Olekuvorrand($C92,$T93,$Y93,$X93,$W93,M$4,[1]!juhe($T93,6),TRUE),[1]!juhe($T93,6),$C92,0)</f>
        <v>14.277311569739556</v>
      </c>
      <c r="N95" s="120">
        <f ca="1">[1]!ripe([1]!Olekuvorrand($C92,$T93,$Y93,$X93,$W93,N$4,[1]!juhe($T93,6),TRUE),[1]!juhe($T93,6),$C92,0)</f>
        <v>14.499953446776773</v>
      </c>
      <c r="O95" s="190"/>
      <c r="P95" s="221"/>
      <c r="Q95" s="142" t="s">
        <v>209</v>
      </c>
      <c r="R95"/>
      <c r="S95"/>
      <c r="T95"/>
      <c r="U95"/>
      <c r="V95"/>
      <c r="W95"/>
      <c r="X95"/>
      <c r="Y95"/>
      <c r="Z95"/>
    </row>
    <row r="96" spans="1:29" s="114" customFormat="1" x14ac:dyDescent="0.2">
      <c r="A96" s="187"/>
      <c r="B96" s="188"/>
      <c r="C96" s="189"/>
      <c r="D96" s="118" t="s">
        <v>195</v>
      </c>
      <c r="E96" s="120">
        <f ca="1">[1]!ripe([1]!Olekuvorrand($C92,$T93,$Y93,$X93,$W93,E$4,[1]!juhe($T93,6)),[1]!juhe($T93,6),$C92,0)</f>
        <v>13.00413715633564</v>
      </c>
      <c r="F96" s="120">
        <f ca="1">[1]!ripe([1]!Olekuvorrand($C92,$T93,$Y93,$X93,$W93,F$4,[1]!juhe($T93,6)),[1]!juhe($T93,6),$C92,0)</f>
        <v>13.246503560721894</v>
      </c>
      <c r="G96" s="120">
        <f ca="1">[1]!ripe([1]!Olekuvorrand($C92,$T93,$Y93,$X93,$W93,G$4,[1]!juhe($T93,6)),[1]!juhe($T93,6),$C92,0)</f>
        <v>13.486786091595961</v>
      </c>
      <c r="H96" s="120">
        <f ca="1">[1]!ripe([1]!Olekuvorrand($C92,$T93,$Y93,$X93,$W93,H$4,[1]!juhe($T93,6)),[1]!juhe($T93,6),$C92,0)</f>
        <v>13.724961587220356</v>
      </c>
      <c r="I96" s="120">
        <f ca="1">[1]!ripe([1]!Olekuvorrand($C92,$T93,$Y93,$X93,$W93,I$4,[1]!juhe($T93,6)),[1]!juhe($T93,6),$C92,0)</f>
        <v>13.961040338972458</v>
      </c>
      <c r="J96" s="120">
        <f ca="1">[1]!ripe([1]!Olekuvorrand($C92,$T93,$Y93,$X93,$W93,J$4,[1]!juhe($T93,6)),[1]!juhe($T93,6),$C92,0)</f>
        <v>14.194987708210759</v>
      </c>
      <c r="K96" s="120">
        <f ca="1">[1]!ripe([1]!Olekuvorrand($C92,$T93,$Y93,$X93,$W93,K$4,[1]!juhe($T93,6)),[1]!juhe($T93,6),$C92,0)</f>
        <v>14.426791314952686</v>
      </c>
      <c r="L96" s="120">
        <f ca="1">[1]!ripe([1]!Olekuvorrand($C92,$T93,$Y93,$X93,$W93,L$4,[1]!juhe($T93,6)),[1]!juhe($T93,6),$C92,0)</f>
        <v>14.65648766695319</v>
      </c>
      <c r="M96" s="120">
        <f ca="1">[1]!ripe([1]!Olekuvorrand($C92,$T93,$Y93,$X93,$W93,M$4,[1]!juhe($T93,6)),[1]!juhe($T93,6),$C92,0)</f>
        <v>14.884050602788841</v>
      </c>
      <c r="N96" s="120">
        <f ca="1">[1]!ripe([1]!Olekuvorrand($C92,$T93,$Y93,$X93,$W93,N$4,[1]!juhe($T93,6)),[1]!juhe($T93,6),$C92,0)</f>
        <v>15.109553533900844</v>
      </c>
      <c r="O96" s="190"/>
      <c r="P96" s="221"/>
      <c r="Q96" s="142" t="s">
        <v>209</v>
      </c>
      <c r="R96"/>
      <c r="S96"/>
      <c r="T96"/>
      <c r="U96"/>
      <c r="V96"/>
      <c r="W96"/>
      <c r="X96"/>
      <c r="Y96"/>
      <c r="Z96"/>
      <c r="AC96" s="121"/>
    </row>
    <row r="97" spans="1:29" x14ac:dyDescent="0.2">
      <c r="A97" s="105"/>
      <c r="B97" s="113" t="str">
        <f t="shared" ref="B97" ca="1" si="40">INDIRECT("Visangud!C" &amp; R97)</f>
        <v>144Y-145Y</v>
      </c>
      <c r="C97" s="106">
        <f t="shared" ref="C97" ca="1" si="41">INDIRECT("Visangud!"&amp;Q97&amp;R97)</f>
        <v>455.65188905548916</v>
      </c>
      <c r="D97" s="10" t="s">
        <v>31</v>
      </c>
      <c r="E97" s="12">
        <f ca="1">[1]!ripe(E$92,[1]!juhe($T$7,6),$C97,0)</f>
        <v>11.862343811989486</v>
      </c>
      <c r="F97" s="12">
        <f ca="1">[1]!ripe(F$92,[1]!juhe($T$7,6),$C97,0)</f>
        <v>12.085937853452505</v>
      </c>
      <c r="G97" s="12">
        <f ca="1">[1]!ripe(G$92,[1]!juhe($T$7,6),$C97,0)</f>
        <v>12.308344112015405</v>
      </c>
      <c r="H97" s="12">
        <f ca="1">[1]!ripe(H$92,[1]!juhe($T$7,6),$C97,0)</f>
        <v>12.529445896317162</v>
      </c>
      <c r="I97" s="12">
        <f ca="1">[1]!ripe(I$92,[1]!juhe($T$7,6),$C97,0)</f>
        <v>12.749203207616814</v>
      </c>
      <c r="J97" s="12">
        <f ca="1">[1]!ripe(J$92,[1]!juhe($T$7,6),$C97,0)</f>
        <v>12.96754957175731</v>
      </c>
      <c r="K97" s="12">
        <f ca="1">[1]!ripe(K$92,[1]!juhe($T$7,6),$C97,0)</f>
        <v>13.184430806583789</v>
      </c>
      <c r="L97" s="12">
        <f ca="1">[1]!ripe(L$92,[1]!juhe($T$7,6),$C97,0)</f>
        <v>13.399803971013423</v>
      </c>
      <c r="M97" s="12">
        <f ca="1">[1]!ripe(M$92,[1]!juhe($T$7,6),$C97,0)</f>
        <v>13.613636086408089</v>
      </c>
      <c r="N97" s="12">
        <f ca="1">[1]!ripe(N$92,[1]!juhe($T$7,6),$C97,0)</f>
        <v>13.825928539141527</v>
      </c>
      <c r="O97" s="107"/>
      <c r="Q97" s="142" t="s">
        <v>209</v>
      </c>
      <c r="R97">
        <v>56</v>
      </c>
      <c r="S97"/>
      <c r="T97"/>
      <c r="U97"/>
      <c r="V97"/>
      <c r="W97"/>
      <c r="X97"/>
      <c r="Y97"/>
      <c r="Z97"/>
      <c r="AC97" s="11"/>
    </row>
    <row r="98" spans="1:29" x14ac:dyDescent="0.2">
      <c r="A98" s="153"/>
      <c r="B98" s="113" t="str">
        <f t="shared" ref="B98:B100" ca="1" si="42">INDIRECT("Visangud!C" &amp; R98)</f>
        <v>145Y-146Y</v>
      </c>
      <c r="C98" s="106">
        <f t="shared" ref="C98:C100" ca="1" si="43">INDIRECT("Visangud!"&amp;Q98&amp;R98)</f>
        <v>475.51169912002717</v>
      </c>
      <c r="D98" s="10" t="s">
        <v>31</v>
      </c>
      <c r="E98" s="12">
        <f ca="1">[1]!ripe(E$92,[1]!juhe($T$7,6),$C98,0)</f>
        <v>12.918930738784375</v>
      </c>
      <c r="F98" s="12">
        <f ca="1">[1]!ripe(F$92,[1]!juhe($T$7,6),$C98,0)</f>
        <v>13.162440451624267</v>
      </c>
      <c r="G98" s="12">
        <f ca="1">[1]!ripe(G$92,[1]!juhe($T$7,6),$C98,0)</f>
        <v>13.404656584943739</v>
      </c>
      <c r="H98" s="12">
        <f ca="1">[1]!ripe(H$92,[1]!juhe($T$7,6),$C98,0)</f>
        <v>13.645452053603908</v>
      </c>
      <c r="I98" s="12">
        <f ca="1">[1]!ripe(I$92,[1]!juhe($T$7,6),$C98,0)</f>
        <v>13.884783296149097</v>
      </c>
      <c r="J98" s="12">
        <f ca="1">[1]!ripe(J$92,[1]!juhe($T$7,6),$C98,0)</f>
        <v>14.122577917524461</v>
      </c>
      <c r="K98" s="12">
        <f ca="1">[1]!ripe(K$92,[1]!juhe($T$7,6),$C98,0)</f>
        <v>14.358776909534237</v>
      </c>
      <c r="L98" s="12">
        <f ca="1">[1]!ripe(L$92,[1]!juhe($T$7,6),$C98,0)</f>
        <v>14.59333350630452</v>
      </c>
      <c r="M98" s="12">
        <f ca="1">[1]!ripe(M$92,[1]!juhe($T$7,6),$C98,0)</f>
        <v>14.826211791767747</v>
      </c>
      <c r="N98" s="12">
        <f ca="1">[1]!ripe(N$92,[1]!juhe($T$7,6),$C98,0)</f>
        <v>15.057413275782901</v>
      </c>
      <c r="O98" s="107"/>
      <c r="Q98" s="142" t="s">
        <v>209</v>
      </c>
      <c r="R98">
        <v>57</v>
      </c>
      <c r="S98"/>
      <c r="T98"/>
      <c r="U98"/>
      <c r="V98"/>
      <c r="W98"/>
      <c r="X98"/>
      <c r="Y98"/>
      <c r="Z98"/>
      <c r="AC98" s="11"/>
    </row>
    <row r="99" spans="1:29" x14ac:dyDescent="0.2">
      <c r="A99" s="153"/>
      <c r="B99" s="113" t="str">
        <f t="shared" ca="1" si="42"/>
        <v>146Y-147Y</v>
      </c>
      <c r="C99" s="106">
        <f t="shared" ca="1" si="43"/>
        <v>439.71215675729928</v>
      </c>
      <c r="D99" s="10" t="s">
        <v>31</v>
      </c>
      <c r="E99" s="12">
        <f ca="1">[1]!ripe(E$92,[1]!juhe($T$7,6),$C99,0)</f>
        <v>11.046917293201419</v>
      </c>
      <c r="F99" s="12">
        <f ca="1">[1]!ripe(F$92,[1]!juhe($T$7,6),$C99,0)</f>
        <v>11.255141310515613</v>
      </c>
      <c r="G99" s="12">
        <f ca="1">[1]!ripe(G$92,[1]!juhe($T$7,6),$C99,0)</f>
        <v>11.462259194027933</v>
      </c>
      <c r="H99" s="12">
        <f ca="1">[1]!ripe(H$92,[1]!juhe($T$7,6),$C99,0)</f>
        <v>11.668162273830095</v>
      </c>
      <c r="I99" s="12">
        <f ca="1">[1]!ripe(I$92,[1]!juhe($T$7,6),$C99,0)</f>
        <v>11.87281330072496</v>
      </c>
      <c r="J99" s="12">
        <f ca="1">[1]!ripe(J$92,[1]!juhe($T$7,6),$C99,0)</f>
        <v>12.076150370039489</v>
      </c>
      <c r="K99" s="12">
        <f ca="1">[1]!ripe(K$92,[1]!juhe($T$7,6),$C99,0)</f>
        <v>12.278123024141284</v>
      </c>
      <c r="L99" s="12">
        <f ca="1">[1]!ripe(L$92,[1]!juhe($T$7,6),$C99,0)</f>
        <v>12.478691273750146</v>
      </c>
      <c r="M99" s="12">
        <f ca="1">[1]!ripe(M$92,[1]!juhe($T$7,6),$C99,0)</f>
        <v>12.67782440720457</v>
      </c>
      <c r="N99" s="12">
        <f ca="1">[1]!ripe(N$92,[1]!juhe($T$7,6),$C99,0)</f>
        <v>12.875523715577916</v>
      </c>
      <c r="O99" s="107"/>
      <c r="Q99" s="142" t="s">
        <v>209</v>
      </c>
      <c r="R99">
        <v>58</v>
      </c>
      <c r="S99"/>
      <c r="T99"/>
      <c r="U99"/>
      <c r="V99"/>
      <c r="W99"/>
      <c r="X99"/>
      <c r="Y99"/>
      <c r="Z99"/>
      <c r="AC99" s="11"/>
    </row>
    <row r="100" spans="1:29" x14ac:dyDescent="0.2">
      <c r="A100" s="108"/>
      <c r="B100" s="113" t="str">
        <f t="shared" ca="1" si="42"/>
        <v>147Y-148Y</v>
      </c>
      <c r="C100" s="106">
        <f t="shared" ca="1" si="43"/>
        <v>490.79630907322172</v>
      </c>
      <c r="D100" s="10" t="s">
        <v>31</v>
      </c>
      <c r="E100" s="12">
        <f ca="1">[1]!ripe(E$92,[1]!juhe($T$7,6),$C100,0)</f>
        <v>13.762797918267527</v>
      </c>
      <c r="F100" s="12">
        <f ca="1">[1]!ripe(F$92,[1]!juhe($T$7,6),$C100,0)</f>
        <v>14.022213735003001</v>
      </c>
      <c r="G100" s="12">
        <f ca="1">[1]!ripe(G$92,[1]!juhe($T$7,6),$C100,0)</f>
        <v>14.280251475341078</v>
      </c>
      <c r="H100" s="12">
        <f ca="1">[1]!ripe(H$92,[1]!juhe($T$7,6),$C100,0)</f>
        <v>14.536775752915792</v>
      </c>
      <c r="I100" s="12">
        <f ca="1">[1]!ripe(I$92,[1]!juhe($T$7,6),$C100,0)</f>
        <v>14.791740160828336</v>
      </c>
      <c r="J100" s="12">
        <f ca="1">[1]!ripe(J$92,[1]!juhe($T$7,6),$C100,0)</f>
        <v>15.045067575164179</v>
      </c>
      <c r="K100" s="12">
        <f ca="1">[1]!ripe(K$92,[1]!juhe($T$7,6),$C100,0)</f>
        <v>15.296695133300226</v>
      </c>
      <c r="L100" s="12">
        <f ca="1">[1]!ripe(L$92,[1]!juhe($T$7,6),$C100,0)</f>
        <v>15.54657301460619</v>
      </c>
      <c r="M100" s="12">
        <f ca="1">[1]!ripe(M$92,[1]!juhe($T$7,6),$C100,0)</f>
        <v>15.794662956969688</v>
      </c>
      <c r="N100" s="12">
        <f ca="1">[1]!ripe(N$92,[1]!juhe($T$7,6),$C100,0)</f>
        <v>16.040966568873991</v>
      </c>
      <c r="O100" s="107"/>
      <c r="Q100" s="142" t="s">
        <v>209</v>
      </c>
      <c r="R100">
        <v>59</v>
      </c>
      <c r="S100"/>
      <c r="T100"/>
      <c r="U100"/>
      <c r="V100"/>
      <c r="W100"/>
      <c r="X100"/>
      <c r="Y100"/>
      <c r="Z100"/>
    </row>
    <row r="101" spans="1:29" s="114" customFormat="1" hidden="1" x14ac:dyDescent="0.2">
      <c r="A101" s="187">
        <v>11</v>
      </c>
      <c r="B101" s="188" t="str">
        <f ca="1">R102</f>
        <v>148Y- 151Y</v>
      </c>
      <c r="C101" s="189">
        <f ca="1">S102</f>
        <v>461.53149095186666</v>
      </c>
      <c r="D101" s="118" t="s">
        <v>130</v>
      </c>
      <c r="E101" s="119">
        <f ca="1">[1]!Olekuvorrand($C101,$T102,$Y102,$X102,$W102,E$4,[1]!juhe($T102,6),TRUE)</f>
        <v>74.339926242828369</v>
      </c>
      <c r="F101" s="119">
        <f ca="1">[1]!Olekuvorrand($C101,$T102,$Y102,$X102,$W102,F$4,[1]!juhe($T102,6),TRUE)</f>
        <v>72.938024997711182</v>
      </c>
      <c r="G101" s="119">
        <f ca="1">[1]!Olekuvorrand($C101,$T102,$Y102,$X102,$W102,G$4,[1]!juhe($T102,6),TRUE)</f>
        <v>71.594774723052979</v>
      </c>
      <c r="H101" s="119">
        <f ca="1">[1]!Olekuvorrand($C101,$T102,$Y102,$X102,$W102,H$4,[1]!juhe($T102,6),TRUE)</f>
        <v>70.307433605194092</v>
      </c>
      <c r="I101" s="119">
        <f ca="1">[1]!Olekuvorrand($C101,$T102,$Y102,$X102,$W102,I$4,[1]!juhe($T102,6),TRUE)</f>
        <v>69.07278299331665</v>
      </c>
      <c r="J101" s="119">
        <f ca="1">[1]!Olekuvorrand($C101,$T102,$Y102,$X102,$W102,J$4,[1]!juhe($T102,6),TRUE)</f>
        <v>67.888200283050537</v>
      </c>
      <c r="K101" s="119">
        <f ca="1">[1]!Olekuvorrand($C101,$T102,$Y102,$X102,$W102,K$4,[1]!juhe($T102,6),TRUE)</f>
        <v>66.751062870025635</v>
      </c>
      <c r="L101" s="119">
        <f ca="1">[1]!Olekuvorrand($C101,$T102,$Y102,$X102,$W102,L$4,[1]!juhe($T102,6),TRUE)</f>
        <v>65.658748149871826</v>
      </c>
      <c r="M101" s="119">
        <f ca="1">[1]!Olekuvorrand($C101,$T102,$Y102,$X102,$W102,M$4,[1]!juhe($T102,6),TRUE)</f>
        <v>64.609110355377197</v>
      </c>
      <c r="N101" s="119">
        <f ca="1">[1]!Olekuvorrand($C101,$T102,$Y102,$X102,$W102,N$4,[1]!juhe($T102,6),TRUE)</f>
        <v>63.599646091461182</v>
      </c>
      <c r="O101" s="190">
        <f ca="1">U102</f>
        <v>65</v>
      </c>
      <c r="P101" s="221"/>
      <c r="Q101" s="142"/>
      <c r="R101"/>
      <c r="S101"/>
      <c r="T101"/>
      <c r="U101"/>
      <c r="V101"/>
      <c r="W101"/>
      <c r="X101"/>
      <c r="Y101"/>
      <c r="Z101"/>
    </row>
    <row r="102" spans="1:29" s="114" customFormat="1" x14ac:dyDescent="0.2">
      <c r="A102" s="187"/>
      <c r="B102" s="188"/>
      <c r="C102" s="189"/>
      <c r="D102" s="118" t="s">
        <v>32</v>
      </c>
      <c r="E102" s="119">
        <f ca="1">E101*[1]!juhe($T102,2)/10</f>
        <v>2087.7624886035915</v>
      </c>
      <c r="F102" s="119">
        <f ca="1">F101*[1]!juhe($T102,2)/10</f>
        <v>2048.3914940357204</v>
      </c>
      <c r="G102" s="119">
        <f ca="1">G101*[1]!juhe($T102,2)/10</f>
        <v>2010.6676533222198</v>
      </c>
      <c r="H102" s="119">
        <f ca="1">H101*[1]!juhe($T102,2)/10</f>
        <v>1974.5139653682709</v>
      </c>
      <c r="I102" s="119">
        <f ca="1">I101*[1]!juhe($T102,2)/10</f>
        <v>1939.8400375843048</v>
      </c>
      <c r="J102" s="119">
        <f ca="1">J101*[1]!juhe($T102,2)/10</f>
        <v>1906.5722167491913</v>
      </c>
      <c r="K102" s="119">
        <f ca="1">K101*[1]!juhe($T102,2)/10</f>
        <v>1874.6368496417999</v>
      </c>
      <c r="L102" s="119">
        <f ca="1">L101*[1]!juhe($T102,2)/10</f>
        <v>1843.9602830410004</v>
      </c>
      <c r="M102" s="119">
        <f ca="1">M101*[1]!juhe($T102,2)/10</f>
        <v>1814.4822552204132</v>
      </c>
      <c r="N102" s="119">
        <f ca="1">N101*[1]!juhe($T102,2)/10</f>
        <v>1786.1324608325958</v>
      </c>
      <c r="O102" s="190"/>
      <c r="P102" s="221"/>
      <c r="Q102" s="142" t="s">
        <v>210</v>
      </c>
      <c r="R102" s="129" t="str">
        <f ca="1">INDIRECT("'"&amp;$S$1&amp;"'!"&amp;$Q102&amp;R$4)</f>
        <v>148Y- 151Y</v>
      </c>
      <c r="S102" s="129">
        <f ca="1">INDIRECT("'"&amp;$S$1&amp;"'!"&amp;$Q102&amp;S$4)</f>
        <v>461.53149095186666</v>
      </c>
      <c r="T102" s="129" t="str">
        <f ca="1">INDIRECT("'"&amp;$S$1&amp;"'!"&amp;$Q102&amp;T$4)</f>
        <v>242-Al1/39-ST1A Hawk</v>
      </c>
      <c r="U102" s="129">
        <f ca="1">INDIRECT("'"&amp;$S$1&amp;"'!"&amp;$Q102&amp;U$4)</f>
        <v>65</v>
      </c>
      <c r="V102" s="129">
        <f ca="1">INDIRECT("'"&amp;$S$1&amp;"'!"&amp;$Q102&amp;V$4)</f>
        <v>5</v>
      </c>
      <c r="W102" s="129">
        <f ca="1">INDIRECT("'"&amp;$S$1&amp;"'!"&amp;$Q102&amp;W$4)</f>
        <v>8.1141476351023992E-2</v>
      </c>
      <c r="X102" s="129">
        <f ca="1">INDIRECT("'"&amp;$S$1&amp;"'!"&amp;$Q102&amp;X$4)</f>
        <v>-5</v>
      </c>
      <c r="Y102" s="129">
        <f ca="1">INDIRECT("'"&amp;$S$1&amp;"'!"&amp;$Q102&amp;Y$4)</f>
        <v>136.01678609848022</v>
      </c>
      <c r="Z102" s="129">
        <v>2</v>
      </c>
    </row>
    <row r="103" spans="1:29" s="114" customFormat="1" x14ac:dyDescent="0.2">
      <c r="A103" s="187"/>
      <c r="B103" s="188"/>
      <c r="C103" s="189"/>
      <c r="D103" s="118" t="str">
        <f>CONCATENATE(Z102,"T, [daN]")</f>
        <v>2T, [daN]</v>
      </c>
      <c r="E103" s="119">
        <f ca="1">E102*$Z102</f>
        <v>4175.5249772071829</v>
      </c>
      <c r="F103" s="119">
        <f t="shared" ref="F103:N103" ca="1" si="44">F102*$Z102</f>
        <v>4096.7829880714407</v>
      </c>
      <c r="G103" s="119">
        <f t="shared" ca="1" si="44"/>
        <v>4021.3353066444397</v>
      </c>
      <c r="H103" s="119">
        <f t="shared" ca="1" si="44"/>
        <v>3949.0279307365417</v>
      </c>
      <c r="I103" s="119">
        <f t="shared" ca="1" si="44"/>
        <v>3879.6800751686096</v>
      </c>
      <c r="J103" s="119">
        <f t="shared" ca="1" si="44"/>
        <v>3813.1444334983826</v>
      </c>
      <c r="K103" s="119">
        <f t="shared" ca="1" si="44"/>
        <v>3749.2736992835999</v>
      </c>
      <c r="L103" s="119">
        <f t="shared" ca="1" si="44"/>
        <v>3687.9205660820007</v>
      </c>
      <c r="M103" s="119">
        <f t="shared" ca="1" si="44"/>
        <v>3628.9645104408264</v>
      </c>
      <c r="N103" s="119">
        <f t="shared" ca="1" si="44"/>
        <v>3572.2649216651917</v>
      </c>
      <c r="O103" s="190"/>
      <c r="P103" s="221"/>
      <c r="Q103" s="142" t="s">
        <v>210</v>
      </c>
      <c r="R103"/>
      <c r="S103"/>
      <c r="T103"/>
      <c r="U103"/>
      <c r="V103"/>
      <c r="W103"/>
      <c r="X103"/>
      <c r="Y103"/>
      <c r="Z103"/>
    </row>
    <row r="104" spans="1:29" s="114" customFormat="1" x14ac:dyDescent="0.2">
      <c r="A104" s="187"/>
      <c r="B104" s="188"/>
      <c r="C104" s="189"/>
      <c r="D104" s="118" t="s">
        <v>31</v>
      </c>
      <c r="E104" s="120">
        <f ca="1">[1]!ripe([1]!Olekuvorrand($C101,$T102,$Y102,$X102,$W102,E$4,[1]!juhe($T102,6),TRUE),[1]!juhe($T102,6),$C101,0)</f>
        <v>12.142000967735692</v>
      </c>
      <c r="F104" s="120">
        <f ca="1">[1]!ripe([1]!Olekuvorrand($C101,$T102,$Y102,$X102,$W102,F$4,[1]!juhe($T102,6),TRUE),[1]!juhe($T102,6),$C101,0)</f>
        <v>12.375375620743048</v>
      </c>
      <c r="G104" s="120">
        <f ca="1">[1]!ripe([1]!Olekuvorrand($C101,$T102,$Y102,$X102,$W102,G$4,[1]!juhe($T102,6),TRUE),[1]!juhe($T102,6),$C101,0)</f>
        <v>12.607560535995097</v>
      </c>
      <c r="H104" s="120">
        <f ca="1">[1]!ripe([1]!Olekuvorrand($C101,$T102,$Y102,$X102,$W102,H$4,[1]!juhe($T102,6),TRUE),[1]!juhe($T102,6),$C101,0)</f>
        <v>12.838407122787343</v>
      </c>
      <c r="I104" s="120">
        <f ca="1">[1]!ripe([1]!Olekuvorrand($C101,$T102,$Y102,$X102,$W102,I$4,[1]!juhe($T102,6),TRUE),[1]!juhe($T102,6),$C101,0)</f>
        <v>13.067888932014789</v>
      </c>
      <c r="J104" s="120">
        <f ca="1">[1]!ripe([1]!Olekuvorrand($C101,$T102,$Y102,$X102,$W102,J$4,[1]!juhe($T102,6),TRUE),[1]!juhe($T102,6),$C101,0)</f>
        <v>13.295910815405435</v>
      </c>
      <c r="K104" s="120">
        <f ca="1">[1]!ripe([1]!Olekuvorrand($C101,$T102,$Y102,$X102,$W102,K$4,[1]!juhe($T102,6),TRUE),[1]!juhe($T102,6),$C101,0)</f>
        <v>13.522413240660887</v>
      </c>
      <c r="L104" s="120">
        <f ca="1">[1]!ripe([1]!Olekuvorrand($C101,$T102,$Y102,$X102,$W102,L$4,[1]!juhe($T102,6),TRUE),[1]!juhe($T102,6),$C101,0)</f>
        <v>13.7473753584439</v>
      </c>
      <c r="M104" s="120">
        <f ca="1">[1]!ripe([1]!Olekuvorrand($C101,$T102,$Y102,$X102,$W102,M$4,[1]!juhe($T102,6),TRUE),[1]!juhe($T102,6),$C101,0)</f>
        <v>13.970714832891964</v>
      </c>
      <c r="N104" s="120">
        <f ca="1">[1]!ripe([1]!Olekuvorrand($C101,$T102,$Y102,$X102,$W102,N$4,[1]!juhe($T102,6),TRUE),[1]!juhe($T102,6),$C101,0)</f>
        <v>14.19246036501151</v>
      </c>
      <c r="O104" s="190"/>
      <c r="P104" s="221"/>
      <c r="Q104" s="142" t="s">
        <v>210</v>
      </c>
      <c r="R104"/>
      <c r="S104"/>
      <c r="T104"/>
      <c r="U104"/>
      <c r="V104"/>
      <c r="W104"/>
      <c r="X104"/>
      <c r="Y104"/>
      <c r="Z104"/>
    </row>
    <row r="105" spans="1:29" s="114" customFormat="1" x14ac:dyDescent="0.2">
      <c r="A105" s="187"/>
      <c r="B105" s="188"/>
      <c r="C105" s="189"/>
      <c r="D105" s="118" t="s">
        <v>195</v>
      </c>
      <c r="E105" s="120">
        <f ca="1">[1]!ripe([1]!Olekuvorrand($C101,$T102,$Y102,$X102,$W102,E$4,[1]!juhe($T102,6)),[1]!juhe($T102,6),$C101,0)</f>
        <v>12.699734931545077</v>
      </c>
      <c r="F105" s="120">
        <f ca="1">[1]!ripe([1]!Olekuvorrand($C101,$T102,$Y102,$X102,$W102,F$4,[1]!juhe($T102,6)),[1]!juhe($T102,6),$C101,0)</f>
        <v>12.941295625030577</v>
      </c>
      <c r="G105" s="120">
        <f ca="1">[1]!ripe([1]!Olekuvorrand($C101,$T102,$Y102,$X102,$W102,G$4,[1]!juhe($T102,6)),[1]!juhe($T102,6),$C101,0)</f>
        <v>13.180810535255606</v>
      </c>
      <c r="H105" s="120">
        <f ca="1">[1]!ripe([1]!Olekuvorrand($C101,$T102,$Y102,$X102,$W102,H$4,[1]!juhe($T102,6)),[1]!juhe($T102,6),$C101,0)</f>
        <v>13.418220758924083</v>
      </c>
      <c r="I105" s="120">
        <f ca="1">[1]!ripe([1]!Olekuvorrand($C101,$T102,$Y102,$X102,$W102,I$4,[1]!juhe($T102,6)),[1]!juhe($T102,6),$C101,0)</f>
        <v>13.653523505063283</v>
      </c>
      <c r="J105" s="120">
        <f ca="1">[1]!ripe([1]!Olekuvorrand($C101,$T102,$Y102,$X102,$W102,J$4,[1]!juhe($T102,6)),[1]!juhe($T102,6),$C101,0)</f>
        <v>13.886699838312222</v>
      </c>
      <c r="K105" s="120">
        <f ca="1">[1]!ripe([1]!Olekuvorrand($C101,$T102,$Y102,$X102,$W102,K$4,[1]!juhe($T102,6)),[1]!juhe($T102,6),$C101,0)</f>
        <v>14.117758400270359</v>
      </c>
      <c r="L105" s="120">
        <f ca="1">[1]!ripe([1]!Olekuvorrand($C101,$T102,$Y102,$X102,$W102,L$4,[1]!juhe($T102,6)),[1]!juhe($T102,6),$C101,0)</f>
        <v>14.34668020233565</v>
      </c>
      <c r="M105" s="120">
        <f ca="1">[1]!ripe([1]!Olekuvorrand($C101,$T102,$Y102,$X102,$W102,M$4,[1]!juhe($T102,6)),[1]!juhe($T102,6),$C101,0)</f>
        <v>14.573492961857797</v>
      </c>
      <c r="N105" s="120">
        <f ca="1">[1]!ripe([1]!Olekuvorrand($C101,$T102,$Y102,$X102,$W102,N$4,[1]!juhe($T102,6)),[1]!juhe($T102,6),$C101,0)</f>
        <v>14.798187149229056</v>
      </c>
      <c r="O105" s="190"/>
      <c r="P105" s="221"/>
      <c r="Q105" s="142" t="s">
        <v>210</v>
      </c>
      <c r="R105"/>
      <c r="S105"/>
      <c r="T105"/>
      <c r="U105"/>
      <c r="V105"/>
      <c r="W105"/>
      <c r="X105"/>
      <c r="Y105"/>
      <c r="Z105"/>
      <c r="AC105" s="121"/>
    </row>
    <row r="106" spans="1:29" x14ac:dyDescent="0.2">
      <c r="A106" s="105"/>
      <c r="B106" s="113" t="str">
        <f t="shared" ref="B106" ca="1" si="45">INDIRECT("Visangud!C" &amp; R106)</f>
        <v>148Y-149Y</v>
      </c>
      <c r="C106" s="106">
        <f t="shared" ref="C106" ca="1" si="46">INDIRECT("Visangud!"&amp;Q106&amp;R106)</f>
        <v>455.88600822974109</v>
      </c>
      <c r="D106" s="10" t="s">
        <v>31</v>
      </c>
      <c r="E106" s="12">
        <f ca="1">[1]!ripe(E$101,[1]!juhe($T$7,6),$C106,0)</f>
        <v>11.846774229914134</v>
      </c>
      <c r="F106" s="12">
        <f ca="1">[1]!ripe(F$101,[1]!juhe($T$7,6),$C106,0)</f>
        <v>12.074474493858215</v>
      </c>
      <c r="G106" s="12">
        <f ca="1">[1]!ripe(G$101,[1]!juhe($T$7,6),$C106,0)</f>
        <v>12.301013947931057</v>
      </c>
      <c r="H106" s="12">
        <f ca="1">[1]!ripe(H$101,[1]!juhe($T$7,6),$C106,0)</f>
        <v>12.526247614337528</v>
      </c>
      <c r="I106" s="12">
        <f ca="1">[1]!ripe(I$101,[1]!juhe($T$7,6),$C106,0)</f>
        <v>12.750149687069513</v>
      </c>
      <c r="J106" s="12">
        <f ca="1">[1]!ripe(J$101,[1]!juhe($T$7,6),$C106,0)</f>
        <v>12.972627331338105</v>
      </c>
      <c r="K106" s="12">
        <f ca="1">[1]!ripe(K$101,[1]!juhe($T$7,6),$C106,0)</f>
        <v>13.193622462343249</v>
      </c>
      <c r="L106" s="12">
        <f ca="1">[1]!ripe(L$101,[1]!juhe($T$7,6),$C106,0)</f>
        <v>13.413114737689007</v>
      </c>
      <c r="M106" s="12">
        <f ca="1">[1]!ripe(M$101,[1]!juhe($T$7,6),$C106,0)</f>
        <v>13.631023823468572</v>
      </c>
      <c r="N106" s="12">
        <f ca="1">[1]!ripe(N$101,[1]!juhe($T$7,6),$C106,0)</f>
        <v>13.847377722837626</v>
      </c>
      <c r="O106" s="107"/>
      <c r="Q106" s="142" t="s">
        <v>210</v>
      </c>
      <c r="R106">
        <v>60</v>
      </c>
      <c r="S106"/>
      <c r="T106"/>
      <c r="U106"/>
      <c r="V106"/>
      <c r="W106"/>
      <c r="X106"/>
      <c r="Y106"/>
      <c r="Z106"/>
      <c r="AC106" s="11"/>
    </row>
    <row r="107" spans="1:29" x14ac:dyDescent="0.2">
      <c r="A107" s="108"/>
      <c r="B107" s="113" t="str">
        <f t="shared" ref="B107:B108" ca="1" si="47">INDIRECT("Visangud!C" &amp; R107)</f>
        <v>149Y-150Y</v>
      </c>
      <c r="C107" s="106">
        <f t="shared" ref="C107:C108" ca="1" si="48">INDIRECT("Visangud!"&amp;Q107&amp;R107)</f>
        <v>455.60098968291328</v>
      </c>
      <c r="D107" s="10" t="s">
        <v>31</v>
      </c>
      <c r="E107" s="12">
        <f ca="1">[1]!ripe(E$101,[1]!juhe($T$7,6),$C107,0)</f>
        <v>11.831965725989223</v>
      </c>
      <c r="F107" s="12">
        <f ca="1">[1]!ripe(F$101,[1]!juhe($T$7,6),$C107,0)</f>
        <v>12.059381363908795</v>
      </c>
      <c r="G107" s="12">
        <f ca="1">[1]!ripe(G$101,[1]!juhe($T$7,6),$C107,0)</f>
        <v>12.285637642973008</v>
      </c>
      <c r="H107" s="12">
        <f ca="1">[1]!ripe(H$101,[1]!juhe($T$7,6),$C107,0)</f>
        <v>12.510589766609415</v>
      </c>
      <c r="I107" s="12">
        <f ca="1">[1]!ripe(I$101,[1]!juhe($T$7,6),$C107,0)</f>
        <v>12.734211961067491</v>
      </c>
      <c r="J107" s="12">
        <f ca="1">[1]!ripe(J$101,[1]!juhe($T$7,6),$C107,0)</f>
        <v>12.9564115076021</v>
      </c>
      <c r="K107" s="12">
        <f ca="1">[1]!ripe(K$101,[1]!juhe($T$7,6),$C107,0)</f>
        <v>13.177130394019361</v>
      </c>
      <c r="L107" s="12">
        <f ca="1">[1]!ripe(L$101,[1]!juhe($T$7,6),$C107,0)</f>
        <v>13.396348303351397</v>
      </c>
      <c r="M107" s="12">
        <f ca="1">[1]!ripe(M$101,[1]!juhe($T$7,6),$C107,0)</f>
        <v>13.613985002109025</v>
      </c>
      <c r="N107" s="12">
        <f ca="1">[1]!ripe(N$101,[1]!juhe($T$7,6),$C107,0)</f>
        <v>13.830068458443899</v>
      </c>
      <c r="O107" s="107"/>
      <c r="Q107" s="142" t="s">
        <v>210</v>
      </c>
      <c r="R107">
        <v>61</v>
      </c>
      <c r="S107"/>
      <c r="T107"/>
      <c r="U107"/>
      <c r="V107"/>
      <c r="W107"/>
      <c r="X107"/>
      <c r="Y107"/>
      <c r="Z107"/>
    </row>
    <row r="108" spans="1:29" x14ac:dyDescent="0.2">
      <c r="A108" s="108"/>
      <c r="B108" s="113" t="str">
        <f t="shared" ca="1" si="47"/>
        <v>150Y-151Y</v>
      </c>
      <c r="C108" s="106">
        <f t="shared" ca="1" si="48"/>
        <v>472.49663385054333</v>
      </c>
      <c r="D108" s="10" t="s">
        <v>31</v>
      </c>
      <c r="E108" s="12">
        <f ca="1">[1]!ripe(E$101,[1]!juhe($T$7,6),$C108,0)</f>
        <v>12.725797935253732</v>
      </c>
      <c r="F108" s="12">
        <f ca="1">[1]!ripe(F$101,[1]!juhe($T$7,6),$C108,0)</f>
        <v>12.970393425344145</v>
      </c>
      <c r="G108" s="12">
        <f ca="1">[1]!ripe(G$101,[1]!juhe($T$7,6),$C108,0)</f>
        <v>13.213741974151137</v>
      </c>
      <c r="H108" s="12">
        <f ca="1">[1]!ripe(H$101,[1]!juhe($T$7,6),$C108,0)</f>
        <v>13.45568784661214</v>
      </c>
      <c r="I108" s="12">
        <f ca="1">[1]!ripe(I$101,[1]!juhe($T$7,6),$C108,0)</f>
        <v>13.696203321928357</v>
      </c>
      <c r="J108" s="12">
        <f ca="1">[1]!ripe(J$101,[1]!juhe($T$7,6),$C108,0)</f>
        <v>13.935188677023952</v>
      </c>
      <c r="K108" s="12">
        <f ca="1">[1]!ripe(K$101,[1]!juhe($T$7,6),$C108,0)</f>
        <v>14.172581517240742</v>
      </c>
      <c r="L108" s="12">
        <f ca="1">[1]!ripe(L$101,[1]!juhe($T$7,6),$C108,0)</f>
        <v>14.408359990788933</v>
      </c>
      <c r="M108" s="12">
        <f ca="1">[1]!ripe(M$101,[1]!juhe($T$7,6),$C108,0)</f>
        <v>14.642437803032909</v>
      </c>
      <c r="N108" s="12">
        <f ca="1">[1]!ripe(N$101,[1]!juhe($T$7,6),$C108,0)</f>
        <v>14.874845034946093</v>
      </c>
      <c r="O108" s="107"/>
      <c r="Q108" s="142" t="s">
        <v>210</v>
      </c>
      <c r="R108">
        <v>62</v>
      </c>
      <c r="S108"/>
      <c r="T108"/>
      <c r="U108"/>
      <c r="V108"/>
      <c r="W108"/>
      <c r="X108"/>
      <c r="Y108"/>
      <c r="Z108"/>
    </row>
    <row r="109" spans="1:29" s="114" customFormat="1" hidden="1" x14ac:dyDescent="0.2">
      <c r="A109" s="187">
        <v>12</v>
      </c>
      <c r="B109" s="188" t="str">
        <f ca="1">R110</f>
        <v>151Y- 154Y</v>
      </c>
      <c r="C109" s="189">
        <f ca="1">S110</f>
        <v>407.59018580213103</v>
      </c>
      <c r="D109" s="118" t="s">
        <v>130</v>
      </c>
      <c r="E109" s="119">
        <f ca="1">[1]!Olekuvorrand($C109,$T110,$Y110,$X110,$W110,E$4,[1]!juhe($T110,6),TRUE)</f>
        <v>76.47472620010376</v>
      </c>
      <c r="F109" s="119">
        <f ca="1">[1]!Olekuvorrand($C109,$T110,$Y110,$X110,$W110,F$4,[1]!juhe($T110,6),TRUE)</f>
        <v>74.699580669403076</v>
      </c>
      <c r="G109" s="119">
        <f ca="1">[1]!Olekuvorrand($C109,$T110,$Y110,$X110,$W110,G$4,[1]!juhe($T110,6),TRUE)</f>
        <v>73.008358478546143</v>
      </c>
      <c r="H109" s="119">
        <f ca="1">[1]!Olekuvorrand($C109,$T110,$Y110,$X110,$W110,H$4,[1]!juhe($T110,6),TRUE)</f>
        <v>71.39664888381958</v>
      </c>
      <c r="I109" s="119">
        <f ca="1">[1]!Olekuvorrand($C109,$T110,$Y110,$X110,$W110,I$4,[1]!juhe($T110,6),TRUE)</f>
        <v>69.860398769378662</v>
      </c>
      <c r="J109" s="119">
        <f ca="1">[1]!Olekuvorrand($C109,$T110,$Y110,$X110,$W110,J$4,[1]!juhe($T110,6),TRUE)</f>
        <v>68.39519739151001</v>
      </c>
      <c r="K109" s="119">
        <f ca="1">[1]!Olekuvorrand($C109,$T110,$Y110,$X110,$W110,K$4,[1]!juhe($T110,6),TRUE)</f>
        <v>66.997349262237549</v>
      </c>
      <c r="L109" s="119">
        <f ca="1">[1]!Olekuvorrand($C109,$T110,$Y110,$X110,$W110,L$4,[1]!juhe($T110,6),TRUE)</f>
        <v>65.662920475006104</v>
      </c>
      <c r="M109" s="119">
        <f ca="1">[1]!Olekuvorrand($C109,$T110,$Y110,$X110,$W110,M$4,[1]!juhe($T110,6),TRUE)</f>
        <v>64.388453960418701</v>
      </c>
      <c r="N109" s="119">
        <f ca="1">[1]!Olekuvorrand($C109,$T110,$Y110,$X110,$W110,N$4,[1]!juhe($T110,6),TRUE)</f>
        <v>63.17061185836792</v>
      </c>
      <c r="O109" s="190">
        <f ca="1">U110</f>
        <v>65</v>
      </c>
      <c r="P109" s="221"/>
      <c r="Q109" s="142"/>
      <c r="R109"/>
      <c r="S109"/>
      <c r="T109"/>
      <c r="U109"/>
      <c r="V109"/>
      <c r="W109"/>
      <c r="X109"/>
      <c r="Y109"/>
      <c r="Z109"/>
    </row>
    <row r="110" spans="1:29" s="114" customFormat="1" x14ac:dyDescent="0.2">
      <c r="A110" s="187"/>
      <c r="B110" s="188"/>
      <c r="C110" s="189"/>
      <c r="D110" s="118" t="s">
        <v>32</v>
      </c>
      <c r="E110" s="119">
        <f ca="1">E109*[1]!juhe($T110,2)/10</f>
        <v>2147.7162106037135</v>
      </c>
      <c r="F110" s="119">
        <f ca="1">F109*[1]!juhe($T110,2)/10</f>
        <v>2097.8630235195155</v>
      </c>
      <c r="G110" s="119">
        <f ca="1">G109*[1]!juhe($T110,2)/10</f>
        <v>2050.3667395114894</v>
      </c>
      <c r="H110" s="119">
        <f ca="1">H109*[1]!juhe($T110,2)/10</f>
        <v>2005.1034872531891</v>
      </c>
      <c r="I110" s="119">
        <f ca="1">I109*[1]!juhe($T110,2)/10</f>
        <v>1961.9594390392303</v>
      </c>
      <c r="J110" s="119">
        <f ca="1">J109*[1]!juhe($T110,2)/10</f>
        <v>1920.8107235431671</v>
      </c>
      <c r="K110" s="119">
        <f ca="1">K109*[1]!juhe($T110,2)/10</f>
        <v>1881.5535566806793</v>
      </c>
      <c r="L110" s="119">
        <f ca="1">L109*[1]!juhe($T110,2)/10</f>
        <v>1844.0774586200714</v>
      </c>
      <c r="M110" s="119">
        <f ca="1">M109*[1]!juhe($T110,2)/10</f>
        <v>1808.2853410243988</v>
      </c>
      <c r="N110" s="119">
        <f ca="1">N109*[1]!juhe($T110,2)/10</f>
        <v>1774.0834634304047</v>
      </c>
      <c r="O110" s="190"/>
      <c r="P110" s="221"/>
      <c r="Q110" s="142" t="s">
        <v>211</v>
      </c>
      <c r="R110" s="129" t="str">
        <f ca="1">INDIRECT("'"&amp;$S$1&amp;"'!"&amp;$Q110&amp;R$4)</f>
        <v>151Y- 154Y</v>
      </c>
      <c r="S110" s="129">
        <f ca="1">INDIRECT("'"&amp;$S$1&amp;"'!"&amp;$Q110&amp;S$4)</f>
        <v>407.59018580213103</v>
      </c>
      <c r="T110" s="129" t="str">
        <f ca="1">INDIRECT("'"&amp;$S$1&amp;"'!"&amp;$Q110&amp;T$4)</f>
        <v>242-Al1/39-ST1A Hawk</v>
      </c>
      <c r="U110" s="129">
        <f ca="1">INDIRECT("'"&amp;$S$1&amp;"'!"&amp;$Q110&amp;U$4)</f>
        <v>65</v>
      </c>
      <c r="V110" s="129">
        <f ca="1">INDIRECT("'"&amp;$S$1&amp;"'!"&amp;$Q110&amp;V$4)</f>
        <v>5</v>
      </c>
      <c r="W110" s="129">
        <f ca="1">INDIRECT("'"&amp;$S$1&amp;"'!"&amp;$Q110&amp;W$4)</f>
        <v>8.1381689661073967E-2</v>
      </c>
      <c r="X110" s="129">
        <f ca="1">INDIRECT("'"&amp;$S$1&amp;"'!"&amp;$Q110&amp;X$4)</f>
        <v>-5</v>
      </c>
      <c r="Y110" s="129">
        <f ca="1">INDIRECT("'"&amp;$S$1&amp;"'!"&amp;$Q110&amp;Y$4)</f>
        <v>133.07970762252808</v>
      </c>
      <c r="Z110" s="129">
        <v>2</v>
      </c>
    </row>
    <row r="111" spans="1:29" s="114" customFormat="1" x14ac:dyDescent="0.2">
      <c r="A111" s="187"/>
      <c r="B111" s="188"/>
      <c r="C111" s="189"/>
      <c r="D111" s="118" t="str">
        <f>CONCATENATE(Z110,"T, [daN]")</f>
        <v>2T, [daN]</v>
      </c>
      <c r="E111" s="119">
        <f ca="1">E110*$Z110</f>
        <v>4295.4324212074271</v>
      </c>
      <c r="F111" s="119">
        <f t="shared" ref="F111:N111" ca="1" si="49">F110*$Z110</f>
        <v>4195.7260470390311</v>
      </c>
      <c r="G111" s="119">
        <f t="shared" ca="1" si="49"/>
        <v>4100.7334790229788</v>
      </c>
      <c r="H111" s="119">
        <f t="shared" ca="1" si="49"/>
        <v>4010.2069745063782</v>
      </c>
      <c r="I111" s="119">
        <f t="shared" ca="1" si="49"/>
        <v>3923.9188780784607</v>
      </c>
      <c r="J111" s="119">
        <f t="shared" ca="1" si="49"/>
        <v>3841.6214470863342</v>
      </c>
      <c r="K111" s="119">
        <f t="shared" ca="1" si="49"/>
        <v>3763.1071133613586</v>
      </c>
      <c r="L111" s="119">
        <f t="shared" ca="1" si="49"/>
        <v>3688.1549172401428</v>
      </c>
      <c r="M111" s="119">
        <f t="shared" ca="1" si="49"/>
        <v>3616.5706820487976</v>
      </c>
      <c r="N111" s="119">
        <f t="shared" ca="1" si="49"/>
        <v>3548.1669268608093</v>
      </c>
      <c r="O111" s="190"/>
      <c r="P111" s="221"/>
      <c r="Q111" s="142" t="s">
        <v>211</v>
      </c>
      <c r="R111"/>
      <c r="S111"/>
      <c r="T111"/>
      <c r="U111"/>
      <c r="V111"/>
      <c r="W111"/>
      <c r="X111"/>
      <c r="Y111"/>
      <c r="Z111"/>
    </row>
    <row r="112" spans="1:29" s="114" customFormat="1" x14ac:dyDescent="0.2">
      <c r="A112" s="187"/>
      <c r="B112" s="188"/>
      <c r="C112" s="189"/>
      <c r="D112" s="118" t="s">
        <v>31</v>
      </c>
      <c r="E112" s="120">
        <f ca="1">[1]!ripe([1]!Olekuvorrand($C109,$T110,$Y110,$X110,$W110,E$4,[1]!juhe($T110,6),TRUE),[1]!juhe($T110,6),$C109,0)</f>
        <v>9.2053269246478706</v>
      </c>
      <c r="F112" s="120">
        <f ca="1">[1]!ripe([1]!Olekuvorrand($C109,$T110,$Y110,$X110,$W110,F$4,[1]!juhe($T110,6),TRUE),[1]!juhe($T110,6),$C109,0)</f>
        <v>9.4240804277129886</v>
      </c>
      <c r="G112" s="120">
        <f ca="1">[1]!ripe([1]!Olekuvorrand($C109,$T110,$Y110,$X110,$W110,G$4,[1]!juhe($T110,6),TRUE),[1]!juhe($T110,6),$C109,0)</f>
        <v>9.6423871295744235</v>
      </c>
      <c r="H112" s="120">
        <f ca="1">[1]!ripe([1]!Olekuvorrand($C109,$T110,$Y110,$X110,$W110,H$4,[1]!juhe($T110,6),TRUE),[1]!juhe($T110,6),$C109,0)</f>
        <v>9.8600545985069168</v>
      </c>
      <c r="I112" s="120">
        <f ca="1">[1]!ripe([1]!Olekuvorrand($C109,$T110,$Y110,$X110,$W110,I$4,[1]!juhe($T110,6),TRUE),[1]!juhe($T110,6),$C109,0)</f>
        <v>10.076880014224262</v>
      </c>
      <c r="J112" s="120">
        <f ca="1">[1]!ripe([1]!Olekuvorrand($C109,$T110,$Y110,$X110,$W110,J$4,[1]!juhe($T110,6),TRUE),[1]!juhe($T110,6),$C109,0)</f>
        <v>10.29275275155905</v>
      </c>
      <c r="K112" s="120">
        <f ca="1">[1]!ripe([1]!Olekuvorrand($C109,$T110,$Y110,$X110,$W110,K$4,[1]!juhe($T110,6),TRUE),[1]!juhe($T110,6),$C109,0)</f>
        <v>10.507503116122209</v>
      </c>
      <c r="L112" s="120">
        <f ca="1">[1]!ripe([1]!Olekuvorrand($C109,$T110,$Y110,$X110,$W110,L$4,[1]!juhe($T110,6),TRUE),[1]!juhe($T110,6),$C109,0)</f>
        <v>10.721040901810781</v>
      </c>
      <c r="M112" s="120">
        <f ca="1">[1]!ripe([1]!Olekuvorrand($C109,$T110,$Y110,$X110,$W110,M$4,[1]!juhe($T110,6),TRUE),[1]!juhe($T110,6),$C109,0)</f>
        <v>10.933246767776737</v>
      </c>
      <c r="N112" s="120">
        <f ca="1">[1]!ripe([1]!Olekuvorrand($C109,$T110,$Y110,$X110,$W110,N$4,[1]!juhe($T110,6),TRUE),[1]!juhe($T110,6),$C109,0)</f>
        <v>11.144024656959797</v>
      </c>
      <c r="O112" s="190"/>
      <c r="P112" s="221"/>
      <c r="Q112" s="142" t="s">
        <v>211</v>
      </c>
      <c r="R112"/>
      <c r="S112"/>
      <c r="T112"/>
      <c r="U112"/>
      <c r="V112"/>
      <c r="W112"/>
      <c r="X112"/>
      <c r="Y112"/>
      <c r="Z112"/>
    </row>
    <row r="113" spans="1:26" s="114" customFormat="1" x14ac:dyDescent="0.2">
      <c r="A113" s="187"/>
      <c r="B113" s="188"/>
      <c r="C113" s="189"/>
      <c r="D113" s="118" t="s">
        <v>195</v>
      </c>
      <c r="E113" s="120">
        <f ca="1">[1]!ripe([1]!Olekuvorrand($C109,$T110,$Y110,$X110,$W110,E$4,[1]!juhe($T110,6)),[1]!juhe($T110,6),$C109,0)</f>
        <v>9.6931288302181269</v>
      </c>
      <c r="F113" s="120">
        <f ca="1">[1]!ripe([1]!Olekuvorrand($C109,$T110,$Y110,$X110,$W110,F$4,[1]!juhe($T110,6)),[1]!juhe($T110,6),$C109,0)</f>
        <v>9.9241644771667996</v>
      </c>
      <c r="G113" s="120">
        <f ca="1">[1]!ripe([1]!Olekuvorrand($C109,$T110,$Y110,$X110,$W110,G$4,[1]!juhe($T110,6)),[1]!juhe($T110,6),$C109,0)</f>
        <v>10.153512388584186</v>
      </c>
      <c r="H113" s="120">
        <f ca="1">[1]!ripe([1]!Olekuvorrand($C109,$T110,$Y110,$X110,$W110,H$4,[1]!juhe($T110,6)),[1]!juhe($T110,6),$C109,0)</f>
        <v>10.381067926361194</v>
      </c>
      <c r="I113" s="120">
        <f ca="1">[1]!ripe([1]!Olekuvorrand($C109,$T110,$Y110,$X110,$W110,I$4,[1]!juhe($T110,6)),[1]!juhe($T110,6),$C109,0)</f>
        <v>10.606716766376502</v>
      </c>
      <c r="J113" s="120">
        <f ca="1">[1]!ripe([1]!Olekuvorrand($C109,$T110,$Y110,$X110,$W110,J$4,[1]!juhe($T110,6)),[1]!juhe($T110,6),$C109,0)</f>
        <v>10.830382799485136</v>
      </c>
      <c r="K113" s="120">
        <f ca="1">[1]!ripe([1]!Olekuvorrand($C109,$T110,$Y110,$X110,$W110,K$4,[1]!juhe($T110,6)),[1]!juhe($T110,6),$C109,0)</f>
        <v>11.052006894778305</v>
      </c>
      <c r="L113" s="120">
        <f ca="1">[1]!ripe([1]!Olekuvorrand($C109,$T110,$Y110,$X110,$W110,L$4,[1]!juhe($T110,6)),[1]!juhe($T110,6),$C109,0)</f>
        <v>11.271563003823818</v>
      </c>
      <c r="M113" s="120">
        <f ca="1">[1]!ripe([1]!Olekuvorrand($C109,$T110,$Y110,$X110,$W110,M$4,[1]!juhe($T110,6)),[1]!juhe($T110,6),$C109,0)</f>
        <v>11.489033785095277</v>
      </c>
      <c r="N113" s="120">
        <f ca="1">[1]!ripe([1]!Olekuvorrand($C109,$T110,$Y110,$X110,$W110,N$4,[1]!juhe($T110,6)),[1]!juhe($T110,6),$C109,0)</f>
        <v>11.704357316462405</v>
      </c>
      <c r="O113" s="190"/>
      <c r="P113" s="221"/>
      <c r="Q113" s="142" t="s">
        <v>211</v>
      </c>
      <c r="R113"/>
      <c r="S113"/>
      <c r="T113"/>
      <c r="U113"/>
      <c r="V113"/>
      <c r="W113"/>
      <c r="X113"/>
      <c r="Y113"/>
      <c r="Z113"/>
    </row>
    <row r="114" spans="1:26" x14ac:dyDescent="0.2">
      <c r="A114" s="105"/>
      <c r="B114" s="113" t="str">
        <f t="shared" ref="B114" ca="1" si="50">INDIRECT("Visangud!C" &amp; R114)</f>
        <v>151Y-152Y</v>
      </c>
      <c r="C114" s="106">
        <f t="shared" ref="C114" ca="1" si="51">INDIRECT("Visangud!"&amp;Q114&amp;R114)</f>
        <v>247.1419107672823</v>
      </c>
      <c r="D114" s="10" t="s">
        <v>31</v>
      </c>
      <c r="E114" s="12">
        <f ca="1">[1]!ripe(E$109,[1]!juhe($T$7,6),$C114,0)</f>
        <v>3.3844225544172875</v>
      </c>
      <c r="F114" s="12">
        <f ca="1">[1]!ripe(F$109,[1]!juhe($T$7,6),$C114,0)</f>
        <v>3.4648492786055436</v>
      </c>
      <c r="G114" s="12">
        <f ca="1">[1]!ripe(G$109,[1]!juhe($T$7,6),$C114,0)</f>
        <v>3.5451117322487695</v>
      </c>
      <c r="H114" s="12">
        <f ca="1">[1]!ripe(H$109,[1]!juhe($T$7,6),$C114,0)</f>
        <v>3.6251391660648951</v>
      </c>
      <c r="I114" s="12">
        <f ca="1">[1]!ripe(I$109,[1]!juhe($T$7,6),$C114,0)</f>
        <v>3.7048570113224937</v>
      </c>
      <c r="J114" s="12">
        <f ca="1">[1]!ripe(J$109,[1]!juhe($T$7,6),$C114,0)</f>
        <v>3.7842245956679683</v>
      </c>
      <c r="K114" s="12">
        <f ca="1">[1]!ripe(K$109,[1]!juhe($T$7,6),$C114,0)</f>
        <v>3.8631795294086504</v>
      </c>
      <c r="L114" s="12">
        <f ca="1">[1]!ripe(L$109,[1]!juhe($T$7,6),$C114,0)</f>
        <v>3.94168864744656</v>
      </c>
      <c r="M114" s="12">
        <f ca="1">[1]!ripe(M$109,[1]!juhe($T$7,6),$C114,0)</f>
        <v>4.0197080730284824</v>
      </c>
      <c r="N114" s="12">
        <f ca="1">[1]!ripe(N$109,[1]!juhe($T$7,6),$C114,0)</f>
        <v>4.0972024898985175</v>
      </c>
      <c r="O114" s="107"/>
      <c r="Q114" s="142" t="s">
        <v>211</v>
      </c>
      <c r="R114">
        <v>63</v>
      </c>
      <c r="S114"/>
      <c r="T114"/>
      <c r="U114"/>
      <c r="V114"/>
      <c r="W114"/>
      <c r="X114"/>
      <c r="Y114"/>
      <c r="Z114"/>
    </row>
    <row r="115" spans="1:26" x14ac:dyDescent="0.2">
      <c r="A115" s="108"/>
      <c r="B115" s="113" t="str">
        <f t="shared" ref="B115:B116" ca="1" si="52">INDIRECT("Visangud!C" &amp; R115)</f>
        <v>152Y-153Y</v>
      </c>
      <c r="C115" s="106">
        <f t="shared" ref="C115:C116" ca="1" si="53">INDIRECT("Visangud!"&amp;Q115&amp;R115)</f>
        <v>420.36242601072905</v>
      </c>
      <c r="D115" s="10" t="s">
        <v>31</v>
      </c>
      <c r="E115" s="12">
        <f ca="1">[1]!ripe(E$109,[1]!juhe($T$7,6),$C115,0)</f>
        <v>9.7912820247648398</v>
      </c>
      <c r="F115" s="12">
        <f ca="1">[1]!ripe(F$109,[1]!juhe($T$7,6),$C115,0)</f>
        <v>10.023960044779622</v>
      </c>
      <c r="G115" s="12">
        <f ca="1">[1]!ripe(G$109,[1]!juhe($T$7,6),$C115,0)</f>
        <v>10.256162822944757</v>
      </c>
      <c r="H115" s="12">
        <f ca="1">[1]!ripe(H$109,[1]!juhe($T$7,6),$C115,0)</f>
        <v>10.487685678502256</v>
      </c>
      <c r="I115" s="12">
        <f ca="1">[1]!ripe(I$109,[1]!juhe($T$7,6),$C115,0)</f>
        <v>10.718312880860591</v>
      </c>
      <c r="J115" s="12">
        <f ca="1">[1]!ripe(J$109,[1]!juhe($T$7,6),$C115,0)</f>
        <v>10.947926763127326</v>
      </c>
      <c r="K115" s="12">
        <f ca="1">[1]!ripe(K$109,[1]!juhe($T$7,6),$C115,0)</f>
        <v>11.176346829201121</v>
      </c>
      <c r="L115" s="12">
        <f ca="1">[1]!ripe(L$109,[1]!juhe($T$7,6),$C115,0)</f>
        <v>11.403477131007385</v>
      </c>
      <c r="M115" s="12">
        <f ca="1">[1]!ripe(M$109,[1]!juhe($T$7,6),$C115,0)</f>
        <v>11.629190731185862</v>
      </c>
      <c r="N115" s="12">
        <f ca="1">[1]!ripe(N$109,[1]!juhe($T$7,6),$C115,0)</f>
        <v>11.85338545826829</v>
      </c>
      <c r="O115" s="107"/>
      <c r="Q115" s="142" t="s">
        <v>211</v>
      </c>
      <c r="R115">
        <v>64</v>
      </c>
      <c r="S115"/>
      <c r="T115"/>
      <c r="U115"/>
      <c r="V115"/>
      <c r="W115"/>
      <c r="X115"/>
      <c r="Y115"/>
      <c r="Z115"/>
    </row>
    <row r="116" spans="1:26" x14ac:dyDescent="0.2">
      <c r="A116" s="108"/>
      <c r="B116" s="113" t="str">
        <f t="shared" ca="1" si="52"/>
        <v>153Y-154Y</v>
      </c>
      <c r="C116" s="106">
        <f t="shared" ca="1" si="53"/>
        <v>461.2772269470675</v>
      </c>
      <c r="D116" s="10" t="s">
        <v>31</v>
      </c>
      <c r="E116" s="12">
        <f ca="1">[1]!ripe(E$109,[1]!juhe($T$7,6),$C116,0)</f>
        <v>11.790054397375883</v>
      </c>
      <c r="F116" s="12">
        <f ca="1">[1]!ripe(F$109,[1]!juhe($T$7,6),$C116,0)</f>
        <v>12.070230834548205</v>
      </c>
      <c r="G116" s="12">
        <f ca="1">[1]!ripe(G$109,[1]!juhe($T$7,6),$C116,0)</f>
        <v>12.349835014967521</v>
      </c>
      <c r="H116" s="12">
        <f ca="1">[1]!ripe(H$109,[1]!juhe($T$7,6),$C116,0)</f>
        <v>12.628620474762737</v>
      </c>
      <c r="I116" s="12">
        <f ca="1">[1]!ripe(I$109,[1]!juhe($T$7,6),$C116,0)</f>
        <v>12.906327444538709</v>
      </c>
      <c r="J116" s="12">
        <f ca="1">[1]!ripe(J$109,[1]!juhe($T$7,6),$C116,0)</f>
        <v>13.182814237123205</v>
      </c>
      <c r="K116" s="12">
        <f ca="1">[1]!ripe(K$109,[1]!juhe($T$7,6),$C116,0)</f>
        <v>13.457863510308339</v>
      </c>
      <c r="L116" s="12">
        <f ca="1">[1]!ripe(L$109,[1]!juhe($T$7,6),$C116,0)</f>
        <v>13.731359729374971</v>
      </c>
      <c r="M116" s="12">
        <f ca="1">[1]!ripe(M$109,[1]!juhe($T$7,6),$C116,0)</f>
        <v>14.003150044228628</v>
      </c>
      <c r="N116" s="12">
        <f ca="1">[1]!ripe(N$109,[1]!juhe($T$7,6),$C116,0)</f>
        <v>14.273111426325592</v>
      </c>
      <c r="O116" s="107"/>
      <c r="Q116" s="142" t="s">
        <v>211</v>
      </c>
      <c r="R116">
        <v>65</v>
      </c>
      <c r="S116"/>
      <c r="T116"/>
      <c r="U116"/>
      <c r="V116"/>
      <c r="W116"/>
      <c r="X116"/>
      <c r="Y116"/>
      <c r="Z116"/>
    </row>
    <row r="117" spans="1:26" s="114" customFormat="1" hidden="1" x14ac:dyDescent="0.2">
      <c r="A117" s="187">
        <v>13</v>
      </c>
      <c r="B117" s="188" t="str">
        <f ca="1">R118</f>
        <v>154Y- 156Y</v>
      </c>
      <c r="C117" s="189">
        <f ca="1">S118</f>
        <v>360.03370480776539</v>
      </c>
      <c r="D117" s="118" t="s">
        <v>130</v>
      </c>
      <c r="E117" s="119">
        <f ca="1">[1]!Olekuvorrand($C117,$T118,$Y118,$X118,$W118,E$4,[1]!juhe($T118,6),TRUE)</f>
        <v>78.875720500946045</v>
      </c>
      <c r="F117" s="119">
        <f ca="1">[1]!Olekuvorrand($C117,$T118,$Y118,$X118,$W118,F$4,[1]!juhe($T118,6),TRUE)</f>
        <v>76.669752597808838</v>
      </c>
      <c r="G117" s="119">
        <f ca="1">[1]!Olekuvorrand($C117,$T118,$Y118,$X118,$W118,G$4,[1]!juhe($T118,6),TRUE)</f>
        <v>74.576437473297119</v>
      </c>
      <c r="H117" s="119">
        <f ca="1">[1]!Olekuvorrand($C117,$T118,$Y118,$X118,$W118,H$4,[1]!juhe($T118,6),TRUE)</f>
        <v>72.590529918670654</v>
      </c>
      <c r="I117" s="119">
        <f ca="1">[1]!Olekuvorrand($C117,$T118,$Y118,$X118,$W118,I$4,[1]!juhe($T118,6),TRUE)</f>
        <v>70.706665515899658</v>
      </c>
      <c r="J117" s="119">
        <f ca="1">[1]!Olekuvorrand($C117,$T118,$Y118,$X118,$W118,J$4,[1]!juhe($T118,6),TRUE)</f>
        <v>68.919599056243896</v>
      </c>
      <c r="K117" s="119">
        <f ca="1">[1]!Olekuvorrand($C117,$T118,$Y118,$X118,$W118,K$4,[1]!juhe($T118,6),TRUE)</f>
        <v>67.224204540252686</v>
      </c>
      <c r="L117" s="119">
        <f ca="1">[1]!Olekuvorrand($C117,$T118,$Y118,$X118,$W118,L$4,[1]!juhe($T118,6),TRUE)</f>
        <v>65.615236759185791</v>
      </c>
      <c r="M117" s="119">
        <f ca="1">[1]!Olekuvorrand($C117,$T118,$Y118,$X118,$W118,M$4,[1]!juhe($T118,6),TRUE)</f>
        <v>64.087808132171631</v>
      </c>
      <c r="N117" s="119">
        <f ca="1">[1]!Olekuvorrand($C117,$T118,$Y118,$X118,$W118,N$4,[1]!juhe($T118,6),TRUE)</f>
        <v>62.636911869049072</v>
      </c>
      <c r="O117" s="190">
        <f ca="1">U118</f>
        <v>65</v>
      </c>
      <c r="P117" s="221"/>
      <c r="Q117" s="142"/>
      <c r="R117"/>
      <c r="S117"/>
      <c r="T117"/>
      <c r="U117"/>
      <c r="V117"/>
      <c r="W117"/>
      <c r="X117"/>
      <c r="Y117"/>
      <c r="Z117"/>
    </row>
    <row r="118" spans="1:26" s="114" customFormat="1" x14ac:dyDescent="0.2">
      <c r="A118" s="187"/>
      <c r="B118" s="188"/>
      <c r="C118" s="189"/>
      <c r="D118" s="118" t="s">
        <v>32</v>
      </c>
      <c r="E118" s="119">
        <f ca="1">E117*[1]!juhe($T118,2)/10</f>
        <v>2215.1457345485683</v>
      </c>
      <c r="F118" s="119">
        <f ca="1">F117*[1]!juhe($T118,2)/10</f>
        <v>2153.1933319568629</v>
      </c>
      <c r="G118" s="119">
        <f ca="1">G117*[1]!juhe($T118,2)/10</f>
        <v>2094.4046700000758</v>
      </c>
      <c r="H118" s="119">
        <f ca="1">H117*[1]!juhe($T118,2)/10</f>
        <v>2038.6324422359467</v>
      </c>
      <c r="I118" s="119">
        <f ca="1">I117*[1]!juhe($T118,2)/10</f>
        <v>1985.725994348526</v>
      </c>
      <c r="J118" s="119">
        <f ca="1">J117*[1]!juhe($T118,2)/10</f>
        <v>1935.5380198955536</v>
      </c>
      <c r="K118" s="119">
        <f ca="1">K117*[1]!juhe($T118,2)/10</f>
        <v>1887.9245603084564</v>
      </c>
      <c r="L118" s="119">
        <f ca="1">L117*[1]!juhe($T118,2)/10</f>
        <v>1842.7383091449738</v>
      </c>
      <c r="M118" s="119">
        <f ca="1">M117*[1]!juhe($T118,2)/10</f>
        <v>1799.8420035839081</v>
      </c>
      <c r="N118" s="119">
        <f ca="1">N117*[1]!juhe($T118,2)/10</f>
        <v>1759.0950329303741</v>
      </c>
      <c r="O118" s="190"/>
      <c r="P118" s="221"/>
      <c r="Q118" s="142" t="s">
        <v>212</v>
      </c>
      <c r="R118" s="129" t="str">
        <f ca="1">INDIRECT("'"&amp;$S$1&amp;"'!"&amp;$Q118&amp;R$4)</f>
        <v>154Y- 156Y</v>
      </c>
      <c r="S118" s="129">
        <f ca="1">INDIRECT("'"&amp;$S$1&amp;"'!"&amp;$Q118&amp;S$4)</f>
        <v>360.03370480776539</v>
      </c>
      <c r="T118" s="129" t="str">
        <f ca="1">INDIRECT("'"&amp;$S$1&amp;"'!"&amp;$Q118&amp;T$4)</f>
        <v>242-Al1/39-ST1A Hawk</v>
      </c>
      <c r="U118" s="129">
        <f ca="1">INDIRECT("'"&amp;$S$1&amp;"'!"&amp;$Q118&amp;U$4)</f>
        <v>65</v>
      </c>
      <c r="V118" s="129">
        <f ca="1">INDIRECT("'"&amp;$S$1&amp;"'!"&amp;$Q118&amp;V$4)</f>
        <v>5</v>
      </c>
      <c r="W118" s="129">
        <f ca="1">INDIRECT("'"&amp;$S$1&amp;"'!"&amp;$Q118&amp;W$4)</f>
        <v>8.1623796627285458E-2</v>
      </c>
      <c r="X118" s="129">
        <f ca="1">INDIRECT("'"&amp;$S$1&amp;"'!"&amp;$Q118&amp;X$4)</f>
        <v>-5</v>
      </c>
      <c r="Y118" s="129">
        <f ca="1">INDIRECT("'"&amp;$S$1&amp;"'!"&amp;$Q118&amp;Y$4)</f>
        <v>129.88847494125366</v>
      </c>
      <c r="Z118" s="129">
        <v>2</v>
      </c>
    </row>
    <row r="119" spans="1:26" s="114" customFormat="1" x14ac:dyDescent="0.2">
      <c r="A119" s="187"/>
      <c r="B119" s="188"/>
      <c r="C119" s="189"/>
      <c r="D119" s="118" t="str">
        <f>CONCATENATE(Z118,"T, [daN]")</f>
        <v>2T, [daN]</v>
      </c>
      <c r="E119" s="119">
        <f ca="1">E118*$Z118</f>
        <v>4430.2914690971365</v>
      </c>
      <c r="F119" s="119">
        <f t="shared" ref="F119:N119" ca="1" si="54">F118*$Z118</f>
        <v>4306.3866639137259</v>
      </c>
      <c r="G119" s="119">
        <f t="shared" ca="1" si="54"/>
        <v>4188.8093400001517</v>
      </c>
      <c r="H119" s="119">
        <f t="shared" ca="1" si="54"/>
        <v>4077.2648844718933</v>
      </c>
      <c r="I119" s="119">
        <f t="shared" ca="1" si="54"/>
        <v>3971.451988697052</v>
      </c>
      <c r="J119" s="119">
        <f t="shared" ca="1" si="54"/>
        <v>3871.0760397911072</v>
      </c>
      <c r="K119" s="119">
        <f t="shared" ca="1" si="54"/>
        <v>3775.8491206169128</v>
      </c>
      <c r="L119" s="119">
        <f t="shared" ca="1" si="54"/>
        <v>3685.4766182899475</v>
      </c>
      <c r="M119" s="119">
        <f t="shared" ca="1" si="54"/>
        <v>3599.6840071678162</v>
      </c>
      <c r="N119" s="119">
        <f t="shared" ca="1" si="54"/>
        <v>3518.1900658607483</v>
      </c>
      <c r="O119" s="190"/>
      <c r="P119" s="221"/>
      <c r="Q119" s="142" t="s">
        <v>212</v>
      </c>
      <c r="R119"/>
      <c r="S119"/>
      <c r="T119"/>
      <c r="U119"/>
      <c r="V119"/>
      <c r="W119"/>
      <c r="X119"/>
      <c r="Y119"/>
      <c r="Z119"/>
    </row>
    <row r="120" spans="1:26" s="114" customFormat="1" x14ac:dyDescent="0.2">
      <c r="A120" s="187"/>
      <c r="B120" s="188"/>
      <c r="C120" s="189"/>
      <c r="D120" s="118" t="s">
        <v>31</v>
      </c>
      <c r="E120" s="120">
        <f ca="1">[1]!ripe([1]!Olekuvorrand($C117,$T118,$Y118,$X118,$W118,E$4,[1]!juhe($T118,6),TRUE),[1]!juhe($T118,6),$C117,0)</f>
        <v>6.9639026394156831</v>
      </c>
      <c r="F120" s="120">
        <f ca="1">[1]!ripe([1]!Olekuvorrand($C117,$T118,$Y118,$X118,$W118,F$4,[1]!juhe($T118,6),TRUE),[1]!juhe($T118,6),$C117,0)</f>
        <v>7.1642703878771865</v>
      </c>
      <c r="G120" s="120">
        <f ca="1">[1]!ripe([1]!Olekuvorrand($C117,$T118,$Y118,$X118,$W118,G$4,[1]!juhe($T118,6),TRUE),[1]!juhe($T118,6),$C117,0)</f>
        <v>7.365367089022298</v>
      </c>
      <c r="H120" s="120">
        <f ca="1">[1]!ripe([1]!Olekuvorrand($C117,$T118,$Y118,$X118,$W118,H$4,[1]!juhe($T118,6),TRUE),[1]!juhe($T118,6),$C117,0)</f>
        <v>7.566866350166614</v>
      </c>
      <c r="I120" s="120">
        <f ca="1">[1]!ripe([1]!Olekuvorrand($C117,$T118,$Y118,$X118,$W118,I$4,[1]!juhe($T118,6),TRUE),[1]!juhe($T118,6),$C117,0)</f>
        <v>7.7684732291446519</v>
      </c>
      <c r="J120" s="120">
        <f ca="1">[1]!ripe([1]!Olekuvorrand($C117,$T118,$Y118,$X118,$W118,J$4,[1]!juhe($T118,6),TRUE),[1]!juhe($T118,6),$C117,0)</f>
        <v>7.9699076272062053</v>
      </c>
      <c r="K120" s="120">
        <f ca="1">[1]!ripe([1]!Olekuvorrand($C117,$T118,$Y118,$X118,$W118,K$4,[1]!juhe($T118,6),TRUE),[1]!juhe($T118,6),$C117,0)</f>
        <v>8.1709087067508666</v>
      </c>
      <c r="L120" s="120">
        <f ca="1">[1]!ripe([1]!Olekuvorrand($C117,$T118,$Y118,$X118,$W118,L$4,[1]!juhe($T118,6),TRUE),[1]!juhe($T118,6),$C117,0)</f>
        <v>8.3712696213879791</v>
      </c>
      <c r="M120" s="120">
        <f ca="1">[1]!ripe([1]!Olekuvorrand($C117,$T118,$Y118,$X118,$W118,M$4,[1]!juhe($T118,6),TRUE),[1]!juhe($T118,6),$C117,0)</f>
        <v>8.5707852115887189</v>
      </c>
      <c r="N120" s="120">
        <f ca="1">[1]!ripe([1]!Olekuvorrand($C117,$T118,$Y118,$X118,$W118,N$4,[1]!juhe($T118,6),TRUE),[1]!juhe($T118,6),$C117,0)</f>
        <v>8.769315437049352</v>
      </c>
      <c r="O120" s="190"/>
      <c r="P120" s="221"/>
      <c r="Q120" s="142" t="s">
        <v>212</v>
      </c>
      <c r="R120"/>
      <c r="S120"/>
      <c r="T120"/>
      <c r="U120"/>
      <c r="V120"/>
      <c r="W120"/>
      <c r="X120"/>
      <c r="Y120"/>
      <c r="Z120"/>
    </row>
    <row r="121" spans="1:26" s="114" customFormat="1" x14ac:dyDescent="0.2">
      <c r="A121" s="187"/>
      <c r="B121" s="188"/>
      <c r="C121" s="189"/>
      <c r="D121" s="118" t="s">
        <v>195</v>
      </c>
      <c r="E121" s="120">
        <f ca="1">[1]!ripe([1]!Olekuvorrand($C117,$T118,$Y118,$X118,$W118,E$4,[1]!juhe($T118,6)),[1]!juhe($T118,6),$C117,0)</f>
        <v>7.3747152656799217</v>
      </c>
      <c r="F121" s="120">
        <f ca="1">[1]!ripe([1]!Olekuvorrand($C117,$T118,$Y118,$X118,$W118,F$4,[1]!juhe($T118,6)),[1]!juhe($T118,6),$C117,0)</f>
        <v>7.5921138205169019</v>
      </c>
      <c r="G121" s="120">
        <f ca="1">[1]!ripe([1]!Olekuvorrand($C117,$T118,$Y118,$X118,$W118,G$4,[1]!juhe($T118,6)),[1]!juhe($T118,6),$C117,0)</f>
        <v>7.8086400402643745</v>
      </c>
      <c r="H121" s="120">
        <f ca="1">[1]!ripe([1]!Olekuvorrand($C117,$T118,$Y118,$X118,$W118,H$4,[1]!juhe($T118,6)),[1]!juhe($T118,6),$C117,0)</f>
        <v>8.0240220093134873</v>
      </c>
      <c r="I121" s="120">
        <f ca="1">[1]!ripe([1]!Olekuvorrand($C117,$T118,$Y118,$X118,$W118,I$4,[1]!juhe($T118,6)),[1]!juhe($T118,6),$C117,0)</f>
        <v>8.2380498704934144</v>
      </c>
      <c r="J121" s="120">
        <f ca="1">[1]!ripe([1]!Olekuvorrand($C117,$T118,$Y118,$X118,$W118,J$4,[1]!juhe($T118,6)),[1]!juhe($T118,6),$C117,0)</f>
        <v>8.4505055127681086</v>
      </c>
      <c r="K121" s="120">
        <f ca="1">[1]!ripe([1]!Olekuvorrand($C117,$T118,$Y118,$X118,$W118,K$4,[1]!juhe($T118,6)),[1]!juhe($T118,6),$C117,0)</f>
        <v>8.6612632168731682</v>
      </c>
      <c r="L121" s="120">
        <f ca="1">[1]!ripe([1]!Olekuvorrand($C117,$T118,$Y118,$X118,$W118,L$4,[1]!juhe($T118,6)),[1]!juhe($T118,6),$C117,0)</f>
        <v>8.8701656243505198</v>
      </c>
      <c r="M121" s="120">
        <f ca="1">[1]!ripe([1]!Olekuvorrand($C117,$T118,$Y118,$X118,$W118,M$4,[1]!juhe($T118,6)),[1]!juhe($T118,6),$C117,0)</f>
        <v>9.0771464944356364</v>
      </c>
      <c r="N121" s="120">
        <f ca="1">[1]!ripe([1]!Olekuvorrand($C117,$T118,$Y118,$X118,$W118,N$4,[1]!juhe($T118,6)),[1]!juhe($T118,6),$C117,0)</f>
        <v>9.2821289175509687</v>
      </c>
      <c r="O121" s="190"/>
      <c r="P121" s="221"/>
      <c r="Q121" s="142" t="s">
        <v>212</v>
      </c>
      <c r="R121"/>
      <c r="S121"/>
      <c r="T121"/>
      <c r="U121"/>
      <c r="V121"/>
      <c r="W121"/>
      <c r="X121"/>
      <c r="Y121"/>
      <c r="Z121"/>
    </row>
    <row r="122" spans="1:26" x14ac:dyDescent="0.2">
      <c r="A122" s="105"/>
      <c r="B122" s="113" t="str">
        <f t="shared" ref="B122" ca="1" si="55">INDIRECT("Visangud!C" &amp; R122)</f>
        <v>154Y-155Y</v>
      </c>
      <c r="C122" s="106">
        <f t="shared" ref="C122" ca="1" si="56">INDIRECT("Visangud!"&amp;Q122&amp;R122)</f>
        <v>368.2816644906481</v>
      </c>
      <c r="D122" s="10" t="s">
        <v>31</v>
      </c>
      <c r="E122" s="12">
        <f ca="1">[1]!ripe(E$117,[1]!juhe($T$7,6),$C122,0)</f>
        <v>7.286627465902086</v>
      </c>
      <c r="F122" s="12">
        <f ca="1">[1]!ripe(F$117,[1]!juhe($T$7,6),$C122,0)</f>
        <v>7.4962807615924829</v>
      </c>
      <c r="G122" s="12">
        <f ca="1">[1]!ripe(G$117,[1]!juhe($T$7,6),$C122,0)</f>
        <v>7.7066967914738571</v>
      </c>
      <c r="H122" s="12">
        <f ca="1">[1]!ripe(H$117,[1]!juhe($T$7,6),$C122,0)</f>
        <v>7.9175340370009355</v>
      </c>
      <c r="I122" s="12">
        <f ca="1">[1]!ripe(I$117,[1]!juhe($T$7,6),$C122,0)</f>
        <v>8.1284838876437977</v>
      </c>
      <c r="J122" s="12">
        <f ca="1">[1]!ripe(J$117,[1]!juhe($T$7,6),$C122,0)</f>
        <v>8.3392532641691304</v>
      </c>
      <c r="K122" s="12">
        <f ca="1">[1]!ripe(K$117,[1]!juhe($T$7,6),$C122,0)</f>
        <v>8.5495692411037236</v>
      </c>
      <c r="L122" s="12">
        <f ca="1">[1]!ripe(L$117,[1]!juhe($T$7,6),$C122,0)</f>
        <v>8.7592153862730573</v>
      </c>
      <c r="M122" s="12">
        <f ca="1">[1]!ripe(M$117,[1]!juhe($T$7,6),$C122,0)</f>
        <v>8.9679770325378811</v>
      </c>
      <c r="N122" s="12">
        <f ca="1">[1]!ripe(N$117,[1]!juhe($T$7,6),$C122,0)</f>
        <v>9.175707649773301</v>
      </c>
      <c r="O122" s="107"/>
      <c r="Q122" s="142" t="s">
        <v>212</v>
      </c>
      <c r="R122">
        <v>66</v>
      </c>
      <c r="S122"/>
      <c r="T122"/>
      <c r="U122"/>
      <c r="V122"/>
      <c r="W122"/>
      <c r="X122"/>
      <c r="Y122"/>
      <c r="Z122"/>
    </row>
    <row r="123" spans="1:26" x14ac:dyDescent="0.2">
      <c r="A123" s="108"/>
      <c r="B123" s="113" t="str">
        <f t="shared" ref="B123" ca="1" si="57">INDIRECT("Visangud!C" &amp; R123)</f>
        <v>155Y-156Y</v>
      </c>
      <c r="C123" s="106">
        <f t="shared" ref="C123" ca="1" si="58">INDIRECT("Visangud!"&amp;Q123&amp;R123)</f>
        <v>351.17594920461329</v>
      </c>
      <c r="D123" s="10" t="s">
        <v>31</v>
      </c>
      <c r="E123" s="12">
        <f ca="1">[1]!ripe(E$117,[1]!juhe($T$7,6),$C123,0)</f>
        <v>6.6254579465485817</v>
      </c>
      <c r="F123" s="12">
        <f ca="1">[1]!ripe(F$117,[1]!juhe($T$7,6),$C123,0)</f>
        <v>6.8160878504996374</v>
      </c>
      <c r="G123" s="12">
        <f ca="1">[1]!ripe(G$117,[1]!juhe($T$7,6),$C123,0)</f>
        <v>7.0074112801359796</v>
      </c>
      <c r="H123" s="12">
        <f ca="1">[1]!ripe(H$117,[1]!juhe($T$7,6),$C123,0)</f>
        <v>7.1991177054119504</v>
      </c>
      <c r="I123" s="12">
        <f ca="1">[1]!ripe(I$117,[1]!juhe($T$7,6),$C123,0)</f>
        <v>7.390926518309997</v>
      </c>
      <c r="J123" s="12">
        <f ca="1">[1]!ripe(J$117,[1]!juhe($T$7,6),$C123,0)</f>
        <v>7.5825712328399426</v>
      </c>
      <c r="K123" s="12">
        <f ca="1">[1]!ripe(K$117,[1]!juhe($T$7,6),$C123,0)</f>
        <v>7.7738036880722232</v>
      </c>
      <c r="L123" s="12">
        <f ca="1">[1]!ripe(L$117,[1]!juhe($T$7,6),$C123,0)</f>
        <v>7.964427090321796</v>
      </c>
      <c r="M123" s="12">
        <f ca="1">[1]!ripe(M$117,[1]!juhe($T$7,6),$C123,0)</f>
        <v>8.1542462507842028</v>
      </c>
      <c r="N123" s="12">
        <f ca="1">[1]!ripe(N$117,[1]!juhe($T$7,6),$C123,0)</f>
        <v>8.3431279350948557</v>
      </c>
      <c r="O123" s="117"/>
      <c r="Q123" s="142" t="s">
        <v>212</v>
      </c>
      <c r="R123">
        <v>67</v>
      </c>
      <c r="S123"/>
      <c r="T123"/>
      <c r="U123"/>
      <c r="V123"/>
      <c r="W123"/>
      <c r="X123"/>
      <c r="Y123"/>
      <c r="Z123"/>
    </row>
    <row r="124" spans="1:26" s="114" customFormat="1" hidden="1" x14ac:dyDescent="0.2">
      <c r="A124" s="187">
        <v>14</v>
      </c>
      <c r="B124" s="188" t="str">
        <f ca="1">R125</f>
        <v>156Y- 164Y</v>
      </c>
      <c r="C124" s="189">
        <f ca="1">S125</f>
        <v>372.01845882629567</v>
      </c>
      <c r="D124" s="118" t="s">
        <v>130</v>
      </c>
      <c r="E124" s="119">
        <f ca="1">[1]!Olekuvorrand($C124,$T125,$Y125,$X125,$W125,E$4,[1]!juhe($T125,6),TRUE)</f>
        <v>78.219830989837646</v>
      </c>
      <c r="F124" s="119">
        <f ca="1">[1]!Olekuvorrand($C124,$T125,$Y125,$X125,$W125,F$4,[1]!juhe($T125,6),TRUE)</f>
        <v>76.132357120513916</v>
      </c>
      <c r="G124" s="119">
        <f ca="1">[1]!Olekuvorrand($C124,$T125,$Y125,$X125,$W125,G$4,[1]!juhe($T125,6),TRUE)</f>
        <v>74.149787425994873</v>
      </c>
      <c r="H124" s="119">
        <f ca="1">[1]!Olekuvorrand($C124,$T125,$Y125,$X125,$W125,H$4,[1]!juhe($T125,6),TRUE)</f>
        <v>72.267115116119385</v>
      </c>
      <c r="I124" s="119">
        <f ca="1">[1]!Olekuvorrand($C124,$T125,$Y125,$X125,$W125,I$4,[1]!juhe($T125,6),TRUE)</f>
        <v>70.479094982147217</v>
      </c>
      <c r="J124" s="119">
        <f ca="1">[1]!Olekuvorrand($C124,$T125,$Y125,$X125,$W125,J$4,[1]!juhe($T125,6),TRUE)</f>
        <v>68.780839443206787</v>
      </c>
      <c r="K124" s="119">
        <f ca="1">[1]!Olekuvorrand($C124,$T125,$Y125,$X125,$W125,K$4,[1]!juhe($T125,6),TRUE)</f>
        <v>67.167341709136963</v>
      </c>
      <c r="L124" s="119">
        <f ca="1">[1]!Olekuvorrand($C124,$T125,$Y125,$X125,$W125,L$4,[1]!juhe($T125,6),TRUE)</f>
        <v>65.633833408355713</v>
      </c>
      <c r="M124" s="119">
        <f ca="1">[1]!Olekuvorrand($C124,$T125,$Y125,$X125,$W125,M$4,[1]!juhe($T125,6),TRUE)</f>
        <v>64.175784587860107</v>
      </c>
      <c r="N124" s="119">
        <f ca="1">[1]!Olekuvorrand($C124,$T125,$Y125,$X125,$W125,N$4,[1]!juhe($T125,6),TRUE)</f>
        <v>62.788665294647217</v>
      </c>
      <c r="O124" s="190">
        <f ca="1">U125</f>
        <v>65</v>
      </c>
      <c r="P124" s="221"/>
      <c r="Q124" s="142"/>
      <c r="R124"/>
      <c r="S124"/>
      <c r="T124"/>
      <c r="U124"/>
      <c r="V124"/>
      <c r="W124"/>
      <c r="X124"/>
      <c r="Y124"/>
      <c r="Z124"/>
    </row>
    <row r="125" spans="1:26" s="114" customFormat="1" x14ac:dyDescent="0.2">
      <c r="A125" s="187"/>
      <c r="B125" s="188"/>
      <c r="C125" s="189"/>
      <c r="D125" s="118" t="s">
        <v>32</v>
      </c>
      <c r="E125" s="119">
        <f ca="1">E124*[1]!juhe($T125,2)/10</f>
        <v>2196.7257335186</v>
      </c>
      <c r="F125" s="119">
        <f ca="1">F124*[1]!juhe($T125,2)/10</f>
        <v>2138.1011173725124</v>
      </c>
      <c r="G125" s="119">
        <f ca="1">G124*[1]!juhe($T125,2)/10</f>
        <v>2082.4226300716396</v>
      </c>
      <c r="H125" s="119">
        <f ca="1">H124*[1]!juhe($T125,2)/10</f>
        <v>2029.5496609210968</v>
      </c>
      <c r="I125" s="119">
        <f ca="1">I124*[1]!juhe($T125,2)/10</f>
        <v>1979.3349034786224</v>
      </c>
      <c r="J125" s="119">
        <f ca="1">J124*[1]!juhe($T125,2)/10</f>
        <v>1931.6410949230194</v>
      </c>
      <c r="K125" s="119">
        <f ca="1">K124*[1]!juhe($T125,2)/10</f>
        <v>1886.3276245594025</v>
      </c>
      <c r="L125" s="119">
        <f ca="1">L124*[1]!juhe($T125,2)/10</f>
        <v>1843.2605774402618</v>
      </c>
      <c r="M125" s="119">
        <f ca="1">M124*[1]!juhe($T125,2)/10</f>
        <v>1802.3127343654633</v>
      </c>
      <c r="N125" s="119">
        <f ca="1">N124*[1]!juhe($T125,2)/10</f>
        <v>1763.3568761348724</v>
      </c>
      <c r="O125" s="190"/>
      <c r="P125" s="221"/>
      <c r="Q125" s="142" t="s">
        <v>213</v>
      </c>
      <c r="R125" s="129" t="str">
        <f ca="1">INDIRECT("'"&amp;$S$1&amp;"'!"&amp;$Q125&amp;R$4)</f>
        <v>156Y- 164Y</v>
      </c>
      <c r="S125" s="129">
        <f ca="1">INDIRECT("'"&amp;$S$1&amp;"'!"&amp;$Q125&amp;S$4)</f>
        <v>372.01845882629567</v>
      </c>
      <c r="T125" s="129" t="str">
        <f ca="1">INDIRECT("'"&amp;$S$1&amp;"'!"&amp;$Q125&amp;T$4)</f>
        <v>242-Al1/39-ST1A Hawk</v>
      </c>
      <c r="U125" s="129">
        <f ca="1">INDIRECT("'"&amp;$S$1&amp;"'!"&amp;$Q125&amp;U$4)</f>
        <v>65</v>
      </c>
      <c r="V125" s="129">
        <f ca="1">INDIRECT("'"&amp;$S$1&amp;"'!"&amp;$Q125&amp;V$4)</f>
        <v>5</v>
      </c>
      <c r="W125" s="129">
        <f ca="1">INDIRECT("'"&amp;$S$1&amp;"'!"&amp;$Q125&amp;W$4)</f>
        <v>8.1559669946182106E-2</v>
      </c>
      <c r="X125" s="129">
        <f ca="1">INDIRECT("'"&amp;$S$1&amp;"'!"&amp;$Q125&amp;X$4)</f>
        <v>-5</v>
      </c>
      <c r="Y125" s="129">
        <f ca="1">INDIRECT("'"&amp;$S$1&amp;"'!"&amp;$Q125&amp;Y$4)</f>
        <v>130.75321912765503</v>
      </c>
      <c r="Z125" s="129">
        <v>2</v>
      </c>
    </row>
    <row r="126" spans="1:26" s="114" customFormat="1" x14ac:dyDescent="0.2">
      <c r="A126" s="187"/>
      <c r="B126" s="188"/>
      <c r="C126" s="189"/>
      <c r="D126" s="118" t="str">
        <f>CONCATENATE(Z125,"T, [daN]")</f>
        <v>2T, [daN]</v>
      </c>
      <c r="E126" s="119">
        <f ca="1">E125*$Z125</f>
        <v>4393.4514670372</v>
      </c>
      <c r="F126" s="119">
        <f t="shared" ref="F126:N126" ca="1" si="59">F125*$Z125</f>
        <v>4276.2022347450247</v>
      </c>
      <c r="G126" s="119">
        <f t="shared" ca="1" si="59"/>
        <v>4164.8452601432791</v>
      </c>
      <c r="H126" s="119">
        <f t="shared" ca="1" si="59"/>
        <v>4059.0993218421936</v>
      </c>
      <c r="I126" s="119">
        <f t="shared" ca="1" si="59"/>
        <v>3958.6698069572449</v>
      </c>
      <c r="J126" s="119">
        <f t="shared" ca="1" si="59"/>
        <v>3863.2821898460388</v>
      </c>
      <c r="K126" s="119">
        <f t="shared" ca="1" si="59"/>
        <v>3772.6552491188049</v>
      </c>
      <c r="L126" s="119">
        <f t="shared" ca="1" si="59"/>
        <v>3686.5211548805237</v>
      </c>
      <c r="M126" s="119">
        <f t="shared" ca="1" si="59"/>
        <v>3604.6254687309265</v>
      </c>
      <c r="N126" s="119">
        <f t="shared" ca="1" si="59"/>
        <v>3526.7137522697449</v>
      </c>
      <c r="O126" s="190"/>
      <c r="P126" s="221"/>
      <c r="Q126" s="142" t="s">
        <v>213</v>
      </c>
      <c r="R126"/>
      <c r="S126"/>
      <c r="T126"/>
      <c r="U126"/>
      <c r="V126"/>
      <c r="W126"/>
      <c r="X126"/>
      <c r="Y126"/>
      <c r="Z126"/>
    </row>
    <row r="127" spans="1:26" s="114" customFormat="1" x14ac:dyDescent="0.2">
      <c r="A127" s="187"/>
      <c r="B127" s="188"/>
      <c r="C127" s="189"/>
      <c r="D127" s="118" t="s">
        <v>31</v>
      </c>
      <c r="E127" s="120">
        <f ca="1">[1]!ripe([1]!Olekuvorrand($C124,$T125,$Y125,$X125,$W125,E$4,[1]!juhe($T125,6),TRUE),[1]!juhe($T125,6),$C124,0)</f>
        <v>7.4975922239168682</v>
      </c>
      <c r="F127" s="120">
        <f ca="1">[1]!ripe([1]!Olekuvorrand($C124,$T125,$Y125,$X125,$W125,F$4,[1]!juhe($T125,6),TRUE),[1]!juhe($T125,6),$C124,0)</f>
        <v>7.7031687808793228</v>
      </c>
      <c r="G127" s="120">
        <f ca="1">[1]!ripe([1]!Olekuvorrand($C124,$T125,$Y125,$X125,$W125,G$4,[1]!juhe($T125,6),TRUE),[1]!juhe($T125,6),$C124,0)</f>
        <v>7.9091311916546578</v>
      </c>
      <c r="H127" s="120">
        <f ca="1">[1]!ripe([1]!Olekuvorrand($C124,$T125,$Y125,$X125,$W125,H$4,[1]!juhe($T125,6),TRUE),[1]!juhe($T125,6),$C124,0)</f>
        <v>8.115176531444062</v>
      </c>
      <c r="I127" s="120">
        <f ca="1">[1]!ripe([1]!Olekuvorrand($C124,$T125,$Y125,$X125,$W125,I$4,[1]!juhe($T125,6),TRUE),[1]!juhe($T125,6),$C124,0)</f>
        <v>8.3210545869530872</v>
      </c>
      <c r="J127" s="120">
        <f ca="1">[1]!ripe([1]!Olekuvorrand($C124,$T125,$Y125,$X125,$W125,J$4,[1]!juhe($T125,6),TRUE),[1]!juhe($T125,6),$C124,0)</f>
        <v>8.5265082737140219</v>
      </c>
      <c r="K127" s="120">
        <f ca="1">[1]!ripe([1]!Olekuvorrand($C124,$T125,$Y125,$X125,$W125,K$4,[1]!juhe($T125,6),TRUE),[1]!juhe($T125,6),$C124,0)</f>
        <v>8.7313325443951655</v>
      </c>
      <c r="L127" s="120">
        <f ca="1">[1]!ripe([1]!Olekuvorrand($C124,$T125,$Y125,$X125,$W125,L$4,[1]!juhe($T125,6),TRUE),[1]!juhe($T125,6),$C124,0)</f>
        <v>8.9353366416479538</v>
      </c>
      <c r="M127" s="120">
        <f ca="1">[1]!ripe([1]!Olekuvorrand($C124,$T125,$Y125,$X125,$W125,M$4,[1]!juhe($T125,6),TRUE),[1]!juhe($T125,6),$C124,0)</f>
        <v>9.1383440085972385</v>
      </c>
      <c r="N127" s="120">
        <f ca="1">[1]!ripe([1]!Olekuvorrand($C124,$T125,$Y125,$X125,$W125,N$4,[1]!juhe($T125,6),TRUE),[1]!juhe($T125,6),$C124,0)</f>
        <v>9.3402271545895506</v>
      </c>
      <c r="O127" s="190"/>
      <c r="P127" s="221"/>
      <c r="Q127" s="142" t="s">
        <v>213</v>
      </c>
      <c r="R127"/>
      <c r="S127"/>
      <c r="T127"/>
      <c r="U127"/>
      <c r="V127"/>
      <c r="W127"/>
      <c r="X127"/>
      <c r="Y127"/>
      <c r="Z127"/>
    </row>
    <row r="128" spans="1:26" s="114" customFormat="1" x14ac:dyDescent="0.2">
      <c r="A128" s="187"/>
      <c r="B128" s="188"/>
      <c r="C128" s="189"/>
      <c r="D128" s="118" t="s">
        <v>195</v>
      </c>
      <c r="E128" s="120">
        <f ca="1">[1]!ripe([1]!Olekuvorrand($C124,$T125,$Y125,$X125,$W125,E$4,[1]!juhe($T125,6)),[1]!juhe($T125,6),$C124,0)</f>
        <v>7.9292342963063662</v>
      </c>
      <c r="F128" s="120">
        <f ca="1">[1]!ripe([1]!Olekuvorrand($C124,$T125,$Y125,$X125,$W125,F$4,[1]!juhe($T125,6)),[1]!juhe($T125,6),$C124,0)</f>
        <v>8.1505634624918883</v>
      </c>
      <c r="G128" s="120">
        <f ca="1">[1]!ripe([1]!Olekuvorrand($C124,$T125,$Y125,$X125,$W125,G$4,[1]!juhe($T125,6)),[1]!juhe($T125,6),$C124,0)</f>
        <v>8.3707505714628425</v>
      </c>
      <c r="H128" s="120">
        <f ca="1">[1]!ripe([1]!Olekuvorrand($C124,$T125,$Y125,$X125,$W125,H$4,[1]!juhe($T125,6)),[1]!juhe($T125,6),$C124,0)</f>
        <v>8.5895856040414333</v>
      </c>
      <c r="I128" s="120">
        <f ca="1">[1]!ripe([1]!Olekuvorrand($C124,$T125,$Y125,$X125,$W125,I$4,[1]!juhe($T125,6)),[1]!juhe($T125,6),$C124,0)</f>
        <v>8.8068749067642038</v>
      </c>
      <c r="J128" s="120">
        <f ca="1">[1]!ripe([1]!Olekuvorrand($C124,$T125,$Y125,$X125,$W125,J$4,[1]!juhe($T125,6)),[1]!juhe($T125,6),$C124,0)</f>
        <v>9.0224679707190507</v>
      </c>
      <c r="K128" s="120">
        <f ca="1">[1]!ripe([1]!Olekuvorrand($C124,$T125,$Y125,$X125,$W125,K$4,[1]!juhe($T125,6)),[1]!juhe($T125,6),$C124,0)</f>
        <v>9.2362402234161838</v>
      </c>
      <c r="L128" s="120">
        <f ca="1">[1]!ripe([1]!Olekuvorrand($C124,$T125,$Y125,$X125,$W125,L$4,[1]!juhe($T125,6)),[1]!juhe($T125,6),$C124,0)</f>
        <v>9.4480880406921965</v>
      </c>
      <c r="M128" s="120">
        <f ca="1">[1]!ripe([1]!Olekuvorrand($C124,$T125,$Y125,$X125,$W125,M$4,[1]!juhe($T125,6)),[1]!juhe($T125,6),$C124,0)</f>
        <v>9.6579225170824827</v>
      </c>
      <c r="N128" s="120">
        <f ca="1">[1]!ripe([1]!Olekuvorrand($C124,$T125,$Y125,$X125,$W125,N$4,[1]!juhe($T125,6)),[1]!juhe($T125,6),$C124,0)</f>
        <v>9.8657214052621303</v>
      </c>
      <c r="O128" s="190"/>
      <c r="P128" s="221"/>
      <c r="Q128" s="142" t="s">
        <v>213</v>
      </c>
      <c r="R128"/>
      <c r="S128"/>
      <c r="T128"/>
      <c r="U128"/>
      <c r="V128"/>
      <c r="W128"/>
      <c r="X128"/>
      <c r="Y128"/>
      <c r="Z128"/>
    </row>
    <row r="129" spans="1:26" x14ac:dyDescent="0.2">
      <c r="A129" s="105"/>
      <c r="B129" s="113" t="str">
        <f t="shared" ref="B129" ca="1" si="60">INDIRECT("Visangud!C" &amp; R129)</f>
        <v>156Y-157Y</v>
      </c>
      <c r="C129" s="106">
        <f t="shared" ref="C129" ca="1" si="61">INDIRECT("Visangud!"&amp;Q129&amp;R129)</f>
        <v>433.08823546734413</v>
      </c>
      <c r="D129" s="10" t="s">
        <v>31</v>
      </c>
      <c r="E129" s="12">
        <f ca="1">[1]!ripe(E$124,[1]!juhe($T$7,6),$C129,0)</f>
        <v>10.161214309999398</v>
      </c>
      <c r="F129" s="12">
        <f ca="1">[1]!ripe(F$124,[1]!juhe($T$7,6),$C129,0)</f>
        <v>10.439824747860209</v>
      </c>
      <c r="G129" s="12">
        <f ca="1">[1]!ripe(G$124,[1]!juhe($T$7,6),$C129,0)</f>
        <v>10.718958119373308</v>
      </c>
      <c r="H129" s="12">
        <f ca="1">[1]!ripe(H$124,[1]!juhe($T$7,6),$C129,0)</f>
        <v>10.998203881565882</v>
      </c>
      <c r="I129" s="12">
        <f ca="1">[1]!ripe(I$124,[1]!juhe($T$7,6),$C129,0)</f>
        <v>11.277222929451668</v>
      </c>
      <c r="J129" s="12">
        <f ca="1">[1]!ripe(J$124,[1]!juhe($T$7,6),$C129,0)</f>
        <v>11.555666845792949</v>
      </c>
      <c r="K129" s="12">
        <f ca="1">[1]!ripe(K$124,[1]!juhe($T$7,6),$C129,0)</f>
        <v>11.833257737391632</v>
      </c>
      <c r="L129" s="12">
        <f ca="1">[1]!ripe(L$124,[1]!juhe($T$7,6),$C129,0)</f>
        <v>12.109737077744526</v>
      </c>
      <c r="M129" s="12">
        <f ca="1">[1]!ripe(M$124,[1]!juhe($T$7,6),$C129,0)</f>
        <v>12.384865585734087</v>
      </c>
      <c r="N129" s="12">
        <f ca="1">[1]!ripe(N$124,[1]!juhe($T$7,6),$C129,0)</f>
        <v>12.658470477910138</v>
      </c>
      <c r="O129" s="107"/>
      <c r="Q129" s="142" t="s">
        <v>213</v>
      </c>
      <c r="R129">
        <v>68</v>
      </c>
      <c r="S129"/>
      <c r="T129"/>
      <c r="U129"/>
      <c r="V129"/>
      <c r="W129"/>
      <c r="X129"/>
      <c r="Y129"/>
      <c r="Z129"/>
    </row>
    <row r="130" spans="1:26" x14ac:dyDescent="0.2">
      <c r="A130" s="153"/>
      <c r="B130" s="113" t="str">
        <f t="shared" ref="B130:B136" ca="1" si="62">INDIRECT("Visangud!C" &amp; R130)</f>
        <v>157Y-158Y</v>
      </c>
      <c r="C130" s="106">
        <f t="shared" ref="C130:C136" ca="1" si="63">INDIRECT("Visangud!"&amp;Q130&amp;R130)</f>
        <v>258.13248245795143</v>
      </c>
      <c r="D130" s="10" t="s">
        <v>31</v>
      </c>
      <c r="E130" s="12">
        <f ca="1">[1]!ripe(E$124,[1]!juhe($T$7,6),$C130,0)</f>
        <v>3.6097585525341955</v>
      </c>
      <c r="F130" s="12">
        <f ca="1">[1]!ripe(F$124,[1]!juhe($T$7,6),$C130,0)</f>
        <v>3.708734558768378</v>
      </c>
      <c r="G130" s="12">
        <f ca="1">[1]!ripe(G$124,[1]!juhe($T$7,6),$C130,0)</f>
        <v>3.8078963365221998</v>
      </c>
      <c r="H130" s="12">
        <f ca="1">[1]!ripe(H$124,[1]!juhe($T$7,6),$C130,0)</f>
        <v>3.9070980409229832</v>
      </c>
      <c r="I130" s="12">
        <f ca="1">[1]!ripe(I$124,[1]!juhe($T$7,6),$C130,0)</f>
        <v>4.0062192053525649</v>
      </c>
      <c r="J130" s="12">
        <f ca="1">[1]!ripe(J$124,[1]!juhe($T$7,6),$C130,0)</f>
        <v>4.1051360550272085</v>
      </c>
      <c r="K130" s="12">
        <f ca="1">[1]!ripe(K$124,[1]!juhe($T$7,6),$C130,0)</f>
        <v>4.2037498687392034</v>
      </c>
      <c r="L130" s="12">
        <f ca="1">[1]!ripe(L$124,[1]!juhe($T$7,6),$C130,0)</f>
        <v>4.301968805274746</v>
      </c>
      <c r="M130" s="12">
        <f ca="1">[1]!ripe(M$124,[1]!juhe($T$7,6),$C130,0)</f>
        <v>4.3997078603189799</v>
      </c>
      <c r="N130" s="12">
        <f ca="1">[1]!ripe(N$124,[1]!juhe($T$7,6),$C130,0)</f>
        <v>4.4969056527694136</v>
      </c>
      <c r="O130" s="154"/>
      <c r="Q130" s="142" t="s">
        <v>213</v>
      </c>
      <c r="R130">
        <v>69</v>
      </c>
      <c r="S130"/>
      <c r="T130"/>
      <c r="U130"/>
      <c r="V130"/>
      <c r="W130"/>
      <c r="X130"/>
      <c r="Y130"/>
      <c r="Z130"/>
    </row>
    <row r="131" spans="1:26" x14ac:dyDescent="0.2">
      <c r="A131" s="153"/>
      <c r="B131" s="113" t="str">
        <f t="shared" ref="B131:B133" ca="1" si="64">INDIRECT("Visangud!C" &amp; R131)</f>
        <v>158Y-159Y</v>
      </c>
      <c r="C131" s="106">
        <f t="shared" ref="C131:C133" ca="1" si="65">INDIRECT("Visangud!"&amp;Q131&amp;R131)</f>
        <v>349.83137152091001</v>
      </c>
      <c r="D131" s="10" t="s">
        <v>31</v>
      </c>
      <c r="E131" s="12">
        <f ca="1">[1]!ripe(E$124,[1]!juhe($T$7,6),$C131,0)</f>
        <v>6.6299513781483048</v>
      </c>
      <c r="F131" s="12">
        <f ca="1">[1]!ripe(F$124,[1]!juhe($T$7,6),$C131,0)</f>
        <v>6.8117380819917654</v>
      </c>
      <c r="G131" s="12">
        <f ca="1">[1]!ripe(G$124,[1]!juhe($T$7,6),$C131,0)</f>
        <v>6.9938659876426961</v>
      </c>
      <c r="H131" s="12">
        <f ca="1">[1]!ripe(H$124,[1]!juhe($T$7,6),$C131,0)</f>
        <v>7.1760672255467934</v>
      </c>
      <c r="I131" s="12">
        <f ca="1">[1]!ripe(I$124,[1]!juhe($T$7,6),$C131,0)</f>
        <v>7.3581205377419296</v>
      </c>
      <c r="J131" s="12">
        <f ca="1">[1]!ripe(J$124,[1]!juhe($T$7,6),$C131,0)</f>
        <v>7.5397985902427225</v>
      </c>
      <c r="K131" s="12">
        <f ca="1">[1]!ripe(K$124,[1]!juhe($T$7,6),$C131,0)</f>
        <v>7.720920064327272</v>
      </c>
      <c r="L131" s="12">
        <f ca="1">[1]!ripe(L$124,[1]!juhe($T$7,6),$C131,0)</f>
        <v>7.9013162775828425</v>
      </c>
      <c r="M131" s="12">
        <f ca="1">[1]!ripe(M$124,[1]!juhe($T$7,6),$C131,0)</f>
        <v>8.0808311047544557</v>
      </c>
      <c r="N131" s="12">
        <f ca="1">[1]!ripe(N$124,[1]!juhe($T$7,6),$C131,0)</f>
        <v>8.2593518087381952</v>
      </c>
      <c r="O131" s="154"/>
      <c r="Q131" s="142" t="s">
        <v>213</v>
      </c>
      <c r="R131">
        <v>70</v>
      </c>
      <c r="S131"/>
      <c r="T131"/>
      <c r="U131"/>
      <c r="V131"/>
      <c r="W131"/>
      <c r="X131"/>
      <c r="Y131"/>
      <c r="Z131"/>
    </row>
    <row r="132" spans="1:26" x14ac:dyDescent="0.2">
      <c r="A132" s="153"/>
      <c r="B132" s="113" t="str">
        <f t="shared" ca="1" si="64"/>
        <v>159Y-160Y</v>
      </c>
      <c r="C132" s="106">
        <f t="shared" ca="1" si="65"/>
        <v>263.13706732408747</v>
      </c>
      <c r="D132" s="10" t="s">
        <v>31</v>
      </c>
      <c r="E132" s="12">
        <f ca="1">[1]!ripe(E$124,[1]!juhe($T$7,6),$C132,0)</f>
        <v>3.7510849382337135</v>
      </c>
      <c r="F132" s="12">
        <f ca="1">[1]!ripe(F$124,[1]!juhe($T$7,6),$C132,0)</f>
        <v>3.8539359740657146</v>
      </c>
      <c r="G132" s="12">
        <f ca="1">[1]!ripe(G$124,[1]!juhe($T$7,6),$C132,0)</f>
        <v>3.956980054595618</v>
      </c>
      <c r="H132" s="12">
        <f ca="1">[1]!ripe(H$124,[1]!juhe($T$7,6),$C132,0)</f>
        <v>4.060065624948697</v>
      </c>
      <c r="I132" s="12">
        <f ca="1">[1]!ripe(I$124,[1]!juhe($T$7,6),$C132,0)</f>
        <v>4.1630675020939041</v>
      </c>
      <c r="J132" s="12">
        <f ca="1">[1]!ripe(J$124,[1]!juhe($T$7,6),$C132,0)</f>
        <v>4.2658570653159646</v>
      </c>
      <c r="K132" s="12">
        <f ca="1">[1]!ripe(K$124,[1]!juhe($T$7,6),$C132,0)</f>
        <v>4.3683317283532359</v>
      </c>
      <c r="L132" s="12">
        <f ca="1">[1]!ripe(L$124,[1]!juhe($T$7,6),$C132,0)</f>
        <v>4.4703960542980159</v>
      </c>
      <c r="M132" s="12">
        <f ca="1">[1]!ripe(M$124,[1]!juhe($T$7,6),$C132,0)</f>
        <v>4.5719617108143584</v>
      </c>
      <c r="N132" s="12">
        <f ca="1">[1]!ripe(N$124,[1]!juhe($T$7,6),$C132,0)</f>
        <v>4.6729649136558411</v>
      </c>
      <c r="O132" s="154"/>
      <c r="Q132" s="142" t="s">
        <v>213</v>
      </c>
      <c r="R132">
        <v>71</v>
      </c>
      <c r="S132"/>
      <c r="T132"/>
      <c r="U132"/>
      <c r="V132"/>
      <c r="W132"/>
      <c r="X132"/>
      <c r="Y132"/>
      <c r="Z132"/>
    </row>
    <row r="133" spans="1:26" x14ac:dyDescent="0.2">
      <c r="A133" s="153"/>
      <c r="B133" s="113" t="str">
        <f t="shared" ca="1" si="64"/>
        <v>160Y-161Y</v>
      </c>
      <c r="C133" s="106">
        <f t="shared" ca="1" si="65"/>
        <v>266.90000000004108</v>
      </c>
      <c r="D133" s="10" t="s">
        <v>31</v>
      </c>
      <c r="E133" s="12">
        <f ca="1">[1]!ripe(E$124,[1]!juhe($T$7,6),$C133,0)</f>
        <v>3.8591351266702536</v>
      </c>
      <c r="F133" s="12">
        <f ca="1">[1]!ripe(F$124,[1]!juhe($T$7,6),$C133,0)</f>
        <v>3.964948791711012</v>
      </c>
      <c r="G133" s="12">
        <f ca="1">[1]!ripe(G$124,[1]!juhe($T$7,6),$C133,0)</f>
        <v>4.0709610621118086</v>
      </c>
      <c r="H133" s="12">
        <f ca="1">[1]!ripe(H$124,[1]!juhe($T$7,6),$C133,0)</f>
        <v>4.1770160174522033</v>
      </c>
      <c r="I133" s="12">
        <f ca="1">[1]!ripe(I$124,[1]!juhe($T$7,6),$C133,0)</f>
        <v>4.2829848687977066</v>
      </c>
      <c r="J133" s="12">
        <f ca="1">[1]!ripe(J$124,[1]!juhe($T$7,6),$C133,0)</f>
        <v>4.3887352905069337</v>
      </c>
      <c r="K133" s="12">
        <f ca="1">[1]!ripe(K$124,[1]!juhe($T$7,6),$C133,0)</f>
        <v>4.4941617413158683</v>
      </c>
      <c r="L133" s="12">
        <f ca="1">[1]!ripe(L$124,[1]!juhe($T$7,6),$C133,0)</f>
        <v>4.5991660352519288</v>
      </c>
      <c r="M133" s="12">
        <f ca="1">[1]!ripe(M$124,[1]!juhe($T$7,6),$C133,0)</f>
        <v>4.7036572955618343</v>
      </c>
      <c r="N133" s="12">
        <f ca="1">[1]!ripe(N$124,[1]!juhe($T$7,6),$C133,0)</f>
        <v>4.8075699006907664</v>
      </c>
      <c r="O133" s="154"/>
      <c r="Q133" s="142" t="s">
        <v>213</v>
      </c>
      <c r="R133">
        <v>72</v>
      </c>
      <c r="S133"/>
      <c r="T133"/>
      <c r="U133"/>
      <c r="V133"/>
      <c r="W133"/>
      <c r="X133"/>
      <c r="Y133"/>
      <c r="Z133"/>
    </row>
    <row r="134" spans="1:26" x14ac:dyDescent="0.2">
      <c r="A134" s="153"/>
      <c r="B134" s="113" t="str">
        <f t="shared" ref="B134" ca="1" si="66">INDIRECT("Visangud!C" &amp; R134)</f>
        <v>161Y-162Y</v>
      </c>
      <c r="C134" s="106">
        <f t="shared" ref="C134" ca="1" si="67">INDIRECT("Visangud!"&amp;Q134&amp;R134)</f>
        <v>418.92057600454484</v>
      </c>
      <c r="D134" s="10" t="s">
        <v>31</v>
      </c>
      <c r="E134" s="12">
        <f ca="1">[1]!ripe(E$124,[1]!juhe($T$7,6),$C134,0)</f>
        <v>9.5072786303262387</v>
      </c>
      <c r="F134" s="12">
        <f ca="1">[1]!ripe(F$124,[1]!juhe($T$7,6),$C134,0)</f>
        <v>9.7679587991770518</v>
      </c>
      <c r="G134" s="12">
        <f ca="1">[1]!ripe(G$124,[1]!juhe($T$7,6),$C134,0)</f>
        <v>10.029128247732611</v>
      </c>
      <c r="H134" s="12">
        <f ca="1">[1]!ripe(H$124,[1]!juhe($T$7,6),$C134,0)</f>
        <v>10.290402853946755</v>
      </c>
      <c r="I134" s="12">
        <f ca="1">[1]!ripe(I$124,[1]!juhe($T$7,6),$C134,0)</f>
        <v>10.551465336292791</v>
      </c>
      <c r="J134" s="12">
        <f ca="1">[1]!ripe(J$124,[1]!juhe($T$7,6),$C134,0)</f>
        <v>10.811989700292349</v>
      </c>
      <c r="K134" s="12">
        <f ca="1">[1]!ripe(K$124,[1]!juhe($T$7,6),$C134,0)</f>
        <v>11.071715936857625</v>
      </c>
      <c r="L134" s="12">
        <f ca="1">[1]!ripe(L$124,[1]!juhe($T$7,6),$C134,0)</f>
        <v>11.330402157231608</v>
      </c>
      <c r="M134" s="12">
        <f ca="1">[1]!ripe(M$124,[1]!juhe($T$7,6),$C134,0)</f>
        <v>11.587824479485811</v>
      </c>
      <c r="N134" s="12">
        <f ca="1">[1]!ripe(N$124,[1]!juhe($T$7,6),$C134,0)</f>
        <v>11.843821239831499</v>
      </c>
      <c r="O134" s="154"/>
      <c r="Q134" s="142" t="s">
        <v>213</v>
      </c>
      <c r="R134">
        <v>73</v>
      </c>
      <c r="S134"/>
      <c r="T134"/>
      <c r="U134"/>
      <c r="V134"/>
      <c r="W134"/>
      <c r="X134"/>
      <c r="Y134"/>
      <c r="Z134"/>
    </row>
    <row r="135" spans="1:26" x14ac:dyDescent="0.2">
      <c r="A135" s="153"/>
      <c r="B135" s="113" t="str">
        <f t="shared" ca="1" si="62"/>
        <v>162Y-163Y</v>
      </c>
      <c r="C135" s="106">
        <f t="shared" ca="1" si="63"/>
        <v>408.63794953476696</v>
      </c>
      <c r="D135" s="10" t="s">
        <v>31</v>
      </c>
      <c r="E135" s="12">
        <f ca="1">[1]!ripe(E$124,[1]!juhe($T$7,6),$C135,0)</f>
        <v>9.0462842673406119</v>
      </c>
      <c r="F135" s="12">
        <f ca="1">[1]!ripe(F$124,[1]!juhe($T$7,6),$C135,0)</f>
        <v>9.2943244270936543</v>
      </c>
      <c r="G135" s="12">
        <f ca="1">[1]!ripe(G$124,[1]!juhe($T$7,6),$C135,0)</f>
        <v>9.5428301420773227</v>
      </c>
      <c r="H135" s="12">
        <f ca="1">[1]!ripe(H$124,[1]!juhe($T$7,6),$C135,0)</f>
        <v>9.7914359157748923</v>
      </c>
      <c r="I135" s="12">
        <f ca="1">[1]!ripe(I$124,[1]!juhe($T$7,6),$C135,0)</f>
        <v>10.039839851187775</v>
      </c>
      <c r="J135" s="12">
        <f ca="1">[1]!ripe(J$124,[1]!juhe($T$7,6),$C135,0)</f>
        <v>10.287731760844286</v>
      </c>
      <c r="K135" s="12">
        <f ca="1">[1]!ripe(K$124,[1]!juhe($T$7,6),$C135,0)</f>
        <v>10.534864243125961</v>
      </c>
      <c r="L135" s="12">
        <f ca="1">[1]!ripe(L$124,[1]!juhe($T$7,6),$C135,0)</f>
        <v>10.781007138116161</v>
      </c>
      <c r="M135" s="12">
        <f ca="1">[1]!ripe(M$124,[1]!juhe($T$7,6),$C135,0)</f>
        <v>11.025947419601376</v>
      </c>
      <c r="N135" s="12">
        <f ca="1">[1]!ripe(N$124,[1]!juhe($T$7,6),$C135,0)</f>
        <v>11.269531262639108</v>
      </c>
      <c r="O135" s="154"/>
      <c r="Q135" s="142" t="s">
        <v>213</v>
      </c>
      <c r="R135">
        <v>74</v>
      </c>
      <c r="S135"/>
      <c r="T135"/>
      <c r="U135"/>
      <c r="V135"/>
      <c r="W135"/>
      <c r="X135"/>
      <c r="Y135"/>
      <c r="Z135"/>
    </row>
    <row r="136" spans="1:26" x14ac:dyDescent="0.2">
      <c r="A136" s="153"/>
      <c r="B136" s="113" t="str">
        <f t="shared" ca="1" si="62"/>
        <v>163Y-164Y</v>
      </c>
      <c r="C136" s="106">
        <f t="shared" ca="1" si="63"/>
        <v>408.78360290002473</v>
      </c>
      <c r="D136" s="10" t="s">
        <v>31</v>
      </c>
      <c r="E136" s="12">
        <f ca="1">[1]!ripe(E$124,[1]!juhe($T$7,6),$C136,0)</f>
        <v>9.052734263344032</v>
      </c>
      <c r="F136" s="12">
        <f ca="1">[1]!ripe(F$124,[1]!juhe($T$7,6),$C136,0)</f>
        <v>9.300951275602678</v>
      </c>
      <c r="G136" s="12">
        <f ca="1">[1]!ripe(G$124,[1]!juhe($T$7,6),$C136,0)</f>
        <v>9.5496341750325922</v>
      </c>
      <c r="H136" s="12">
        <f ca="1">[1]!ripe(H$124,[1]!juhe($T$7,6),$C136,0)</f>
        <v>9.7984172045182163</v>
      </c>
      <c r="I136" s="12">
        <f ca="1">[1]!ripe(I$124,[1]!juhe($T$7,6),$C136,0)</f>
        <v>10.04699825180856</v>
      </c>
      <c r="J136" s="12">
        <f ca="1">[1]!ripe(J$124,[1]!juhe($T$7,6),$C136,0)</f>
        <v>10.295066908268435</v>
      </c>
      <c r="K136" s="12">
        <f ca="1">[1]!ripe(K$124,[1]!juhe($T$7,6),$C136,0)</f>
        <v>10.542375595882147</v>
      </c>
      <c r="L136" s="12">
        <f ca="1">[1]!ripe(L$124,[1]!juhe($T$7,6),$C136,0)</f>
        <v>10.788693990629158</v>
      </c>
      <c r="M136" s="12">
        <f ca="1">[1]!ripe(M$124,[1]!juhe($T$7,6),$C136,0)</f>
        <v>11.033808914408377</v>
      </c>
      <c r="N136" s="12">
        <f ca="1">[1]!ripe(N$124,[1]!juhe($T$7,6),$C136,0)</f>
        <v>11.277566432600199</v>
      </c>
      <c r="O136" s="154"/>
      <c r="Q136" s="142" t="s">
        <v>213</v>
      </c>
      <c r="R136">
        <v>75</v>
      </c>
      <c r="S136"/>
      <c r="T136"/>
      <c r="U136"/>
      <c r="V136"/>
      <c r="W136"/>
      <c r="X136"/>
      <c r="Y136"/>
      <c r="Z136"/>
    </row>
    <row r="137" spans="1:26" s="114" customFormat="1" hidden="1" x14ac:dyDescent="0.2">
      <c r="A137" s="187">
        <v>15</v>
      </c>
      <c r="B137" s="188" t="str">
        <f ca="1">R138</f>
        <v>164Y - L105B 165</v>
      </c>
      <c r="C137" s="189">
        <f ca="1">S138</f>
        <v>290.98</v>
      </c>
      <c r="D137" s="118" t="s">
        <v>130</v>
      </c>
      <c r="E137" s="119">
        <f ca="1">[1]!Olekuvorrand($C137,$T138,$Y138,$X138,$W138,E$4,[1]!juhe($T138,6),TRUE)</f>
        <v>83.351194858551025</v>
      </c>
      <c r="F137" s="119">
        <f ca="1">[1]!Olekuvorrand($C137,$T138,$Y138,$X138,$W138,F$4,[1]!juhe($T138,6),TRUE)</f>
        <v>80.332338809967041</v>
      </c>
      <c r="G137" s="119">
        <f ca="1">[1]!Olekuvorrand($C137,$T138,$Y138,$X138,$W138,G$4,[1]!juhe($T138,6),TRUE)</f>
        <v>77.46964693069458</v>
      </c>
      <c r="H137" s="119">
        <f ca="1">[1]!Olekuvorrand($C137,$T138,$Y138,$X138,$W138,H$4,[1]!juhe($T138,6),TRUE)</f>
        <v>74.760496616363525</v>
      </c>
      <c r="I137" s="119">
        <f ca="1">[1]!Olekuvorrand($C137,$T138,$Y138,$X138,$W138,I$4,[1]!juhe($T138,6),TRUE)</f>
        <v>72.200953960418701</v>
      </c>
      <c r="J137" s="119">
        <f ca="1">[1]!Olekuvorrand($C137,$T138,$Y138,$X138,$W138,J$4,[1]!juhe($T138,6),TRUE)</f>
        <v>69.786131381988525</v>
      </c>
      <c r="K137" s="119">
        <f ca="1">[1]!Olekuvorrand($C137,$T138,$Y138,$X138,$W138,K$4,[1]!juhe($T138,6),TRUE)</f>
        <v>67.510426044464111</v>
      </c>
      <c r="L137" s="119">
        <f ca="1">[1]!Olekuvorrand($C137,$T138,$Y138,$X138,$W138,L$4,[1]!juhe($T138,6),TRUE)</f>
        <v>65.367400646209717</v>
      </c>
      <c r="M137" s="119">
        <f ca="1">[1]!Olekuvorrand($C137,$T138,$Y138,$X138,$W138,M$4,[1]!juhe($T138,6),TRUE)</f>
        <v>63.350379467010498</v>
      </c>
      <c r="N137" s="119">
        <f ca="1">[1]!Olekuvorrand($C137,$T138,$Y138,$X138,$W138,N$4,[1]!juhe($T138,6),TRUE)</f>
        <v>61.452329158782959</v>
      </c>
      <c r="O137" s="190">
        <f ca="1">U138</f>
        <v>65</v>
      </c>
      <c r="P137" s="221"/>
      <c r="Q137" s="142"/>
      <c r="R137"/>
      <c r="S137"/>
      <c r="T137"/>
      <c r="U137"/>
      <c r="V137"/>
      <c r="W137"/>
      <c r="X137"/>
      <c r="Y137"/>
      <c r="Z137"/>
    </row>
    <row r="138" spans="1:26" s="114" customFormat="1" x14ac:dyDescent="0.2">
      <c r="A138" s="187"/>
      <c r="B138" s="188"/>
      <c r="C138" s="189"/>
      <c r="D138" s="118" t="s">
        <v>32</v>
      </c>
      <c r="E138" s="119">
        <f ca="1">E137*[1]!juhe($T138,2)/10</f>
        <v>2340.8349564075465</v>
      </c>
      <c r="F138" s="119">
        <f ca="1">F137*[1]!juhe($T138,2)/10</f>
        <v>2256.0534031391139</v>
      </c>
      <c r="G138" s="119">
        <f ca="1">G137*[1]!juhe($T138,2)/10</f>
        <v>2175.6575644016261</v>
      </c>
      <c r="H138" s="119">
        <f ca="1">H137*[1]!juhe($T138,2)/10</f>
        <v>2099.5737869739528</v>
      </c>
      <c r="I138" s="119">
        <f ca="1">I137*[1]!juhe($T138,2)/10</f>
        <v>2027.6915910243988</v>
      </c>
      <c r="J138" s="119">
        <f ca="1">J137*[1]!juhe($T138,2)/10</f>
        <v>1959.8737137317657</v>
      </c>
      <c r="K138" s="119">
        <f ca="1">K137*[1]!juhe($T138,2)/10</f>
        <v>1895.9628050327301</v>
      </c>
      <c r="L138" s="119">
        <f ca="1">L137*[1]!juhe($T138,2)/10</f>
        <v>1835.7780797481537</v>
      </c>
      <c r="M138" s="119">
        <f ca="1">M137*[1]!juhe($T138,2)/10</f>
        <v>1779.1320569515228</v>
      </c>
      <c r="N138" s="119">
        <f ca="1">N137*[1]!juhe($T138,2)/10</f>
        <v>1725.8272120952606</v>
      </c>
      <c r="O138" s="190"/>
      <c r="P138" s="221"/>
      <c r="Q138" s="142" t="s">
        <v>215</v>
      </c>
      <c r="R138" s="129" t="str">
        <f ca="1">INDIRECT("'"&amp;$S$1&amp;"'!"&amp;$Q138&amp;R$4)</f>
        <v>164Y - L105B 165</v>
      </c>
      <c r="S138" s="129">
        <f ca="1">INDIRECT("'"&amp;$S$1&amp;"'!"&amp;$Q138&amp;S$4)</f>
        <v>290.98</v>
      </c>
      <c r="T138" s="129" t="str">
        <f ca="1">INDIRECT("'"&amp;$S$1&amp;"'!"&amp;$Q138&amp;T$4)</f>
        <v>242-Al1/39-ST1A Hawk</v>
      </c>
      <c r="U138" s="129">
        <f ca="1">INDIRECT("'"&amp;$S$1&amp;"'!"&amp;$Q138&amp;U$4)</f>
        <v>65</v>
      </c>
      <c r="V138" s="129">
        <f ca="1">INDIRECT("'"&amp;$S$1&amp;"'!"&amp;$Q138&amp;V$4)</f>
        <v>5</v>
      </c>
      <c r="W138" s="129">
        <f ca="1">INDIRECT("'"&amp;$S$1&amp;"'!"&amp;$Q138&amp;W$4)</f>
        <v>8.204470347427803E-2</v>
      </c>
      <c r="X138" s="129">
        <f ca="1">INDIRECT("'"&amp;$S$1&amp;"'!"&amp;$Q138&amp;X$4)</f>
        <v>-5</v>
      </c>
      <c r="Y138" s="129">
        <f ca="1">INDIRECT("'"&amp;$S$1&amp;"'!"&amp;$Q138&amp;Y$4)</f>
        <v>123.96150827407837</v>
      </c>
      <c r="Z138" s="129">
        <v>2</v>
      </c>
    </row>
    <row r="139" spans="1:26" s="114" customFormat="1" x14ac:dyDescent="0.2">
      <c r="A139" s="187"/>
      <c r="B139" s="188"/>
      <c r="C139" s="189"/>
      <c r="D139" s="118" t="str">
        <f>CONCATENATE(Z138,"T, [daN]")</f>
        <v>2T, [daN]</v>
      </c>
      <c r="E139" s="119">
        <f ca="1">E138*$Z138</f>
        <v>4681.6699128150931</v>
      </c>
      <c r="F139" s="119">
        <f t="shared" ref="F139:N139" ca="1" si="68">F138*$Z138</f>
        <v>4512.1068062782279</v>
      </c>
      <c r="G139" s="119">
        <f t="shared" ca="1" si="68"/>
        <v>4351.3151288032523</v>
      </c>
      <c r="H139" s="119">
        <f t="shared" ca="1" si="68"/>
        <v>4199.1475739479056</v>
      </c>
      <c r="I139" s="119">
        <f t="shared" ca="1" si="68"/>
        <v>4055.3831820487976</v>
      </c>
      <c r="J139" s="119">
        <f t="shared" ca="1" si="68"/>
        <v>3919.7474274635315</v>
      </c>
      <c r="K139" s="119">
        <f t="shared" ca="1" si="68"/>
        <v>3791.9256100654602</v>
      </c>
      <c r="L139" s="119">
        <f t="shared" ca="1" si="68"/>
        <v>3671.5561594963074</v>
      </c>
      <c r="M139" s="119">
        <f t="shared" ca="1" si="68"/>
        <v>3558.2641139030457</v>
      </c>
      <c r="N139" s="119">
        <f t="shared" ca="1" si="68"/>
        <v>3451.6544241905212</v>
      </c>
      <c r="O139" s="190"/>
      <c r="P139" s="221"/>
      <c r="Q139" s="142" t="s">
        <v>215</v>
      </c>
      <c r="R139"/>
      <c r="S139"/>
      <c r="T139"/>
      <c r="U139"/>
      <c r="V139"/>
      <c r="W139"/>
      <c r="X139"/>
      <c r="Y139"/>
      <c r="Z139"/>
    </row>
    <row r="140" spans="1:26" s="114" customFormat="1" x14ac:dyDescent="0.2">
      <c r="A140" s="187"/>
      <c r="B140" s="188"/>
      <c r="C140" s="189"/>
      <c r="D140" s="118" t="s">
        <v>31</v>
      </c>
      <c r="E140" s="120">
        <f ca="1">[1]!ripe([1]!Olekuvorrand($C137,$T138,$Y138,$X138,$W138,E$4,[1]!juhe($T138,6),TRUE),[1]!juhe($T138,6),$C137,0)</f>
        <v>4.3045143540397852</v>
      </c>
      <c r="F140" s="120">
        <f ca="1">[1]!ripe([1]!Olekuvorrand($C137,$T138,$Y138,$X138,$W138,F$4,[1]!juhe($T138,6),TRUE),[1]!juhe($T138,6),$C137,0)</f>
        <v>4.4662762221294177</v>
      </c>
      <c r="G140" s="120">
        <f ca="1">[1]!ripe([1]!Olekuvorrand($C137,$T138,$Y138,$X138,$W138,G$4,[1]!juhe($T138,6),TRUE),[1]!juhe($T138,6),$C137,0)</f>
        <v>4.631315991616372</v>
      </c>
      <c r="H140" s="120">
        <f ca="1">[1]!ripe([1]!Olekuvorrand($C137,$T138,$Y138,$X138,$W138,H$4,[1]!juhe($T138,6),TRUE),[1]!juhe($T138,6),$C137,0)</f>
        <v>4.7991443467280162</v>
      </c>
      <c r="I140" s="120">
        <f ca="1">[1]!ripe([1]!Olekuvorrand($C137,$T138,$Y138,$X138,$W138,I$4,[1]!juhe($T138,6),TRUE),[1]!juhe($T138,6),$C137,0)</f>
        <v>4.9692752659707295</v>
      </c>
      <c r="J140" s="120">
        <f ca="1">[1]!ripe([1]!Olekuvorrand($C137,$T138,$Y138,$X138,$W138,J$4,[1]!juhe($T138,6),TRUE),[1]!juhe($T138,6),$C137,0)</f>
        <v>5.1412280289777046</v>
      </c>
      <c r="K140" s="120">
        <f ca="1">[1]!ripe([1]!Olekuvorrand($C137,$T138,$Y138,$X138,$W138,K$4,[1]!juhe($T138,6),TRUE),[1]!juhe($T138,6),$C137,0)</f>
        <v>5.3145334093832268</v>
      </c>
      <c r="L140" s="120">
        <f ca="1">[1]!ripe([1]!Olekuvorrand($C137,$T138,$Y138,$X138,$W138,L$4,[1]!juhe($T138,6),TRUE),[1]!juhe($T138,6),$C137,0)</f>
        <v>5.4887667422615189</v>
      </c>
      <c r="M140" s="120">
        <f ca="1">[1]!ripe([1]!Olekuvorrand($C137,$T138,$Y138,$X138,$W138,M$4,[1]!juhe($T138,6),TRUE),[1]!juhe($T138,6),$C137,0)</f>
        <v>5.6635243184586903</v>
      </c>
      <c r="N140" s="120">
        <f ca="1">[1]!ripe([1]!Olekuvorrand($C137,$T138,$Y138,$X138,$W138,N$4,[1]!juhe($T138,6),TRUE),[1]!juhe($T138,6),$C137,0)</f>
        <v>5.8384510336126318</v>
      </c>
      <c r="O140" s="190"/>
      <c r="P140" s="221"/>
      <c r="Q140" s="142" t="s">
        <v>215</v>
      </c>
      <c r="R140"/>
      <c r="S140"/>
      <c r="T140"/>
      <c r="U140"/>
      <c r="V140"/>
      <c r="W140"/>
      <c r="X140"/>
      <c r="Y140"/>
      <c r="Z140"/>
    </row>
    <row r="141" spans="1:26" s="114" customFormat="1" x14ac:dyDescent="0.2">
      <c r="A141" s="187"/>
      <c r="B141" s="188"/>
      <c r="C141" s="189"/>
      <c r="D141" s="118" t="s">
        <v>195</v>
      </c>
      <c r="E141" s="120">
        <f ca="1">[1]!ripe([1]!Olekuvorrand($C137,$T138,$Y138,$X138,$W138,E$4,[1]!juhe($T138,6)),[1]!juhe($T138,6),$C137,0)</f>
        <v>4.5789081076338674</v>
      </c>
      <c r="F141" s="120">
        <f ca="1">[1]!ripe([1]!Olekuvorrand($C137,$T138,$Y138,$X138,$W138,F$4,[1]!juhe($T138,6)),[1]!juhe($T138,6),$C137,0)</f>
        <v>4.7649384712961522</v>
      </c>
      <c r="G141" s="120">
        <f ca="1">[1]!ripe([1]!Olekuvorrand($C137,$T138,$Y138,$X138,$W138,G$4,[1]!juhe($T138,6)),[1]!juhe($T138,6),$C137,0)</f>
        <v>4.9526510080274919</v>
      </c>
      <c r="H141" s="120">
        <f ca="1">[1]!ripe([1]!Olekuvorrand($C137,$T138,$Y138,$X138,$W138,H$4,[1]!juhe($T138,6)),[1]!juhe($T138,6),$C137,0)</f>
        <v>5.1414036808064978</v>
      </c>
      <c r="I141" s="120">
        <f ca="1">[1]!ripe([1]!Olekuvorrand($C137,$T138,$Y138,$X138,$W138,I$4,[1]!juhe($T138,6)),[1]!juhe($T138,6),$C137,0)</f>
        <v>5.3306198152914446</v>
      </c>
      <c r="J141" s="120">
        <f ca="1">[1]!ripe([1]!Olekuvorrand($C137,$T138,$Y138,$X138,$W138,J$4,[1]!juhe($T138,6)),[1]!juhe($T138,6),$C137,0)</f>
        <v>5.5197911977724274</v>
      </c>
      <c r="K141" s="120">
        <f ca="1">[1]!ripe([1]!Olekuvorrand($C137,$T138,$Y138,$X138,$W138,K$4,[1]!juhe($T138,6)),[1]!juhe($T138,6),$C137,0)</f>
        <v>5.7084900174623954</v>
      </c>
      <c r="L141" s="120">
        <f ca="1">[1]!ripe([1]!Olekuvorrand($C137,$T138,$Y138,$X138,$W138,L$4,[1]!juhe($T138,6)),[1]!juhe($T138,6),$C137,0)</f>
        <v>5.8963277501090623</v>
      </c>
      <c r="M141" s="120">
        <f ca="1">[1]!ripe([1]!Olekuvorrand($C137,$T138,$Y138,$X138,$W138,M$4,[1]!juhe($T138,6)),[1]!juhe($T138,6),$C137,0)</f>
        <v>6.082998427775415</v>
      </c>
      <c r="N141" s="120">
        <f ca="1">[1]!ripe([1]!Olekuvorrand($C137,$T138,$Y138,$X138,$W138,N$4,[1]!juhe($T138,6)),[1]!juhe($T138,6),$C137,0)</f>
        <v>6.2682555825530324</v>
      </c>
      <c r="O141" s="190"/>
      <c r="P141" s="221"/>
      <c r="Q141" s="142" t="s">
        <v>215</v>
      </c>
      <c r="R141"/>
      <c r="S141"/>
      <c r="T141"/>
      <c r="U141"/>
      <c r="V141"/>
      <c r="W141"/>
      <c r="X141"/>
      <c r="Y141"/>
      <c r="Z141"/>
    </row>
    <row r="142" spans="1:26" ht="23.25" customHeight="1" x14ac:dyDescent="0.2">
      <c r="A142" s="105"/>
      <c r="B142" s="113" t="str">
        <f t="shared" ref="B142" ca="1" si="69">INDIRECT("Visangud!C" &amp; R142)</f>
        <v>164Y-L105B 165</v>
      </c>
      <c r="C142" s="106">
        <f t="shared" ref="C142" ca="1" si="70">INDIRECT("Visangud!"&amp;Q142&amp;R142)</f>
        <v>290.98</v>
      </c>
      <c r="D142" s="10" t="s">
        <v>31</v>
      </c>
      <c r="E142" s="12">
        <f ca="1">[1]!ripe(E$137,[1]!juhe($T$7,6),$C142,0)</f>
        <v>4.3045143540397852</v>
      </c>
      <c r="F142" s="12">
        <f ca="1">[1]!ripe(F$137,[1]!juhe($T$7,6),$C142,0)</f>
        <v>4.4662762221294177</v>
      </c>
      <c r="G142" s="12">
        <f ca="1">[1]!ripe(G$137,[1]!juhe($T$7,6),$C142,0)</f>
        <v>4.631315991616372</v>
      </c>
      <c r="H142" s="12">
        <f ca="1">[1]!ripe(H$137,[1]!juhe($T$7,6),$C142,0)</f>
        <v>4.7991443467280162</v>
      </c>
      <c r="I142" s="12">
        <f ca="1">[1]!ripe(I$137,[1]!juhe($T$7,6),$C142,0)</f>
        <v>4.9692752659707295</v>
      </c>
      <c r="J142" s="12">
        <f ca="1">[1]!ripe(J$137,[1]!juhe($T$7,6),$C142,0)</f>
        <v>5.1412280289777046</v>
      </c>
      <c r="K142" s="12">
        <f ca="1">[1]!ripe(K$137,[1]!juhe($T$7,6),$C142,0)</f>
        <v>5.3145334093832268</v>
      </c>
      <c r="L142" s="12">
        <f ca="1">[1]!ripe(L$137,[1]!juhe($T$7,6),$C142,0)</f>
        <v>5.4887667422615189</v>
      </c>
      <c r="M142" s="12">
        <f ca="1">[1]!ripe(M$137,[1]!juhe($T$7,6),$C142,0)</f>
        <v>5.6635243184586903</v>
      </c>
      <c r="N142" s="12">
        <f ca="1">[1]!ripe(N$137,[1]!juhe($T$7,6),$C142,0)</f>
        <v>5.8384510336126318</v>
      </c>
      <c r="O142" s="107"/>
      <c r="Q142" s="142" t="s">
        <v>215</v>
      </c>
      <c r="R142">
        <v>77</v>
      </c>
      <c r="S142"/>
      <c r="T142"/>
      <c r="U142"/>
      <c r="V142"/>
      <c r="W142"/>
      <c r="X142"/>
      <c r="Y142"/>
      <c r="Z142"/>
    </row>
    <row r="143" spans="1:26" s="114" customFormat="1" x14ac:dyDescent="0.2">
      <c r="A143" s="187">
        <v>16</v>
      </c>
      <c r="B143" s="188" t="str">
        <f ca="1">R144</f>
        <v>L105B 165 - 166Y</v>
      </c>
      <c r="C143" s="189">
        <f ca="1">S144</f>
        <v>182.89033681409401</v>
      </c>
      <c r="D143" s="118" t="s">
        <v>130</v>
      </c>
      <c r="E143" s="119">
        <f ca="1">[1]!Olekuvorrand($C143,$T144,$Y144,$X144,$W144,E$4,[1]!juhe($T144,6),TRUE)</f>
        <v>91.840803623199463</v>
      </c>
      <c r="F143" s="119">
        <f ca="1">[1]!Olekuvorrand($C143,$T144,$Y144,$X144,$W144,F$4,[1]!juhe($T144,6),TRUE)</f>
        <v>87.344110012054443</v>
      </c>
      <c r="G143" s="119">
        <f ca="1">[1]!Olekuvorrand($C143,$T144,$Y144,$X144,$W144,G$4,[1]!juhe($T144,6),TRUE)</f>
        <v>82.997977733612061</v>
      </c>
      <c r="H143" s="119">
        <f ca="1">[1]!Olekuvorrand($C143,$T144,$Y144,$X144,$W144,H$4,[1]!juhe($T144,6),TRUE)</f>
        <v>78.817188739776611</v>
      </c>
      <c r="I143" s="119">
        <f ca="1">[1]!Olekuvorrand($C143,$T144,$Y144,$X144,$W144,I$4,[1]!juhe($T144,6),TRUE)</f>
        <v>74.816048145294189</v>
      </c>
      <c r="J143" s="119">
        <f ca="1">[1]!Olekuvorrand($C143,$T144,$Y144,$X144,$W144,J$4,[1]!juhe($T144,6),TRUE)</f>
        <v>71.007192134857178</v>
      </c>
      <c r="K143" s="119">
        <f ca="1">[1]!Olekuvorrand($C143,$T144,$Y144,$X144,$W144,K$4,[1]!juhe($T144,6),TRUE)</f>
        <v>67.401230335235596</v>
      </c>
      <c r="L143" s="119">
        <f ca="1">[1]!Olekuvorrand($C143,$T144,$Y144,$X144,$W144,L$4,[1]!juhe($T144,6),TRUE)</f>
        <v>64.00531530380249</v>
      </c>
      <c r="M143" s="119">
        <f ca="1">[1]!Olekuvorrand($C143,$T144,$Y144,$X144,$W144,M$4,[1]!juhe($T144,6),TRUE)</f>
        <v>60.823738574981689</v>
      </c>
      <c r="N143" s="119">
        <f ca="1">[1]!Olekuvorrand($C143,$T144,$Y144,$X144,$W144,N$4,[1]!juhe($T144,6),TRUE)</f>
        <v>57.856500148773193</v>
      </c>
      <c r="O143" s="190">
        <f ca="1">U144</f>
        <v>65</v>
      </c>
      <c r="P143" s="221"/>
      <c r="Q143" s="142"/>
      <c r="R143"/>
      <c r="S143"/>
      <c r="T143"/>
      <c r="U143"/>
      <c r="V143"/>
      <c r="W143"/>
      <c r="X143"/>
      <c r="Y143"/>
      <c r="Z143"/>
    </row>
    <row r="144" spans="1:26" s="114" customFormat="1" x14ac:dyDescent="0.2">
      <c r="A144" s="187"/>
      <c r="B144" s="188"/>
      <c r="C144" s="189"/>
      <c r="D144" s="118" t="s">
        <v>32</v>
      </c>
      <c r="E144" s="119">
        <f ca="1">E143*[1]!juhe($T144,2)/10</f>
        <v>2579.2571289539333</v>
      </c>
      <c r="F144" s="119">
        <f ca="1">F143*[1]!juhe($T144,2)/10</f>
        <v>2452.9719855785365</v>
      </c>
      <c r="G144" s="119">
        <f ca="1">G143*[1]!juhe($T144,2)/10</f>
        <v>2330.9152066707607</v>
      </c>
      <c r="H144" s="119">
        <f ca="1">H143*[1]!juhe($T144,2)/10</f>
        <v>2213.5019285678859</v>
      </c>
      <c r="I144" s="119">
        <f ca="1">I143*[1]!juhe($T144,2)/10</f>
        <v>2101.1338961124416</v>
      </c>
      <c r="J144" s="119">
        <f ca="1">J143*[1]!juhe($T144,2)/10</f>
        <v>1994.165983915329</v>
      </c>
      <c r="K144" s="119">
        <f ca="1">K143*[1]!juhe($T144,2)/10</f>
        <v>1892.8961527347565</v>
      </c>
      <c r="L144" s="119">
        <f ca="1">L143*[1]!juhe($T144,2)/10</f>
        <v>1797.5252749919891</v>
      </c>
      <c r="M144" s="119">
        <f ca="1">M143*[1]!juhe($T144,2)/10</f>
        <v>1708.1738741397858</v>
      </c>
      <c r="N144" s="119">
        <f ca="1">N143*[1]!juhe($T144,2)/10</f>
        <v>1624.8419501781461</v>
      </c>
      <c r="O144" s="190"/>
      <c r="P144" s="221"/>
      <c r="Q144" s="142" t="s">
        <v>216</v>
      </c>
      <c r="R144" s="129" t="str">
        <f ca="1">INDIRECT("'"&amp;$S$1&amp;"'!"&amp;$Q144&amp;R$4)</f>
        <v>L105B 165 - 166Y</v>
      </c>
      <c r="S144" s="129">
        <f ca="1">INDIRECT("'"&amp;$S$1&amp;"'!"&amp;$Q144&amp;S$4)</f>
        <v>182.89033681409401</v>
      </c>
      <c r="T144" s="129" t="str">
        <f ca="1">INDIRECT("'"&amp;$S$1&amp;"'!"&amp;$Q144&amp;T$4)</f>
        <v>242-Al1/39-ST1A Hawk</v>
      </c>
      <c r="U144" s="129">
        <f ca="1">INDIRECT("'"&amp;$S$1&amp;"'!"&amp;$Q144&amp;U$4)</f>
        <v>65</v>
      </c>
      <c r="V144" s="129">
        <f ca="1">INDIRECT("'"&amp;$S$1&amp;"'!"&amp;$Q144&amp;V$4)</f>
        <v>2</v>
      </c>
      <c r="W144" s="129">
        <f ca="1">INDIRECT("'"&amp;$S$1&amp;"'!"&amp;$Q144&amp;W$4)</f>
        <v>3.39E-2</v>
      </c>
      <c r="X144" s="129">
        <f ca="1">INDIRECT("'"&amp;$S$1&amp;"'!"&amp;$Q144&amp;X$4)</f>
        <v>-40</v>
      </c>
      <c r="Y144" s="129">
        <f ca="1">INDIRECT("'"&amp;$S$1&amp;"'!"&amp;$Q144&amp;Y$4)</f>
        <v>111.0413670539856</v>
      </c>
      <c r="Z144" s="129">
        <v>2</v>
      </c>
    </row>
    <row r="145" spans="1:26" s="114" customFormat="1" x14ac:dyDescent="0.2">
      <c r="A145" s="187"/>
      <c r="B145" s="188"/>
      <c r="C145" s="189"/>
      <c r="D145" s="118" t="str">
        <f>CONCATENATE(Z144,"T, [daN]")</f>
        <v>2T, [daN]</v>
      </c>
      <c r="E145" s="119">
        <f ca="1">E144*$Z144</f>
        <v>5158.5142579078665</v>
      </c>
      <c r="F145" s="119">
        <f t="shared" ref="F145:N145" ca="1" si="71">F144*$Z144</f>
        <v>4905.9439711570731</v>
      </c>
      <c r="G145" s="119">
        <f t="shared" ca="1" si="71"/>
        <v>4661.8304133415213</v>
      </c>
      <c r="H145" s="119">
        <f t="shared" ca="1" si="71"/>
        <v>4427.0038571357718</v>
      </c>
      <c r="I145" s="119">
        <f t="shared" ca="1" si="71"/>
        <v>4202.2677922248831</v>
      </c>
      <c r="J145" s="119">
        <f t="shared" ca="1" si="71"/>
        <v>3988.331967830658</v>
      </c>
      <c r="K145" s="119">
        <f t="shared" ca="1" si="71"/>
        <v>3785.7923054695129</v>
      </c>
      <c r="L145" s="119">
        <f t="shared" ca="1" si="71"/>
        <v>3595.0505499839783</v>
      </c>
      <c r="M145" s="119">
        <f t="shared" ca="1" si="71"/>
        <v>3416.3477482795715</v>
      </c>
      <c r="N145" s="119">
        <f t="shared" ca="1" si="71"/>
        <v>3249.6839003562923</v>
      </c>
      <c r="O145" s="190"/>
      <c r="P145" s="221"/>
      <c r="Q145" s="142" t="s">
        <v>216</v>
      </c>
      <c r="R145"/>
      <c r="S145"/>
      <c r="T145"/>
      <c r="U145"/>
      <c r="V145"/>
      <c r="W145"/>
      <c r="X145"/>
      <c r="Y145"/>
      <c r="Z145"/>
    </row>
    <row r="146" spans="1:26" s="114" customFormat="1" x14ac:dyDescent="0.2">
      <c r="A146" s="187"/>
      <c r="B146" s="188"/>
      <c r="C146" s="189"/>
      <c r="D146" s="118" t="s">
        <v>31</v>
      </c>
      <c r="E146" s="120">
        <f ca="1">[1]!ripe([1]!Olekuvorrand($C143,$T144,$Y144,$X144,$W144,E$4,[1]!juhe($T144,6),TRUE),[1]!juhe($T144,6),$C143,0)</f>
        <v>1.5433184760137526</v>
      </c>
      <c r="F146" s="120">
        <f ca="1">[1]!ripe([1]!Olekuvorrand($C143,$T144,$Y144,$X144,$W144,F$4,[1]!juhe($T144,6),TRUE),[1]!juhe($T144,6),$C143,0)</f>
        <v>1.6227723777146839</v>
      </c>
      <c r="G146" s="120">
        <f ca="1">[1]!ripe([1]!Olekuvorrand($C143,$T144,$Y144,$X144,$W144,G$4,[1]!juhe($T144,6),TRUE),[1]!juhe($T144,6),$C143,0)</f>
        <v>1.7077477422228036</v>
      </c>
      <c r="H146" s="120">
        <f ca="1">[1]!ripe([1]!Olekuvorrand($C143,$T144,$Y144,$X144,$W144,H$4,[1]!juhe($T144,6),TRUE),[1]!juhe($T144,6),$C143,0)</f>
        <v>1.7983337308769414</v>
      </c>
      <c r="I146" s="120">
        <f ca="1">[1]!ripe([1]!Olekuvorrand($C143,$T144,$Y144,$X144,$W144,I$4,[1]!juhe($T144,6),TRUE),[1]!juhe($T144,6),$C143,0)</f>
        <v>1.8945080981606179</v>
      </c>
      <c r="J146" s="120">
        <f ca="1">[1]!ripe([1]!Olekuvorrand($C143,$T144,$Y144,$X144,$W144,J$4,[1]!juhe($T144,6),TRUE),[1]!juhe($T144,6),$C143,0)</f>
        <v>1.996130318946312</v>
      </c>
      <c r="K146" s="120">
        <f ca="1">[1]!ripe([1]!Olekuvorrand($C143,$T144,$Y144,$X144,$W144,K$4,[1]!juhe($T144,6),TRUE),[1]!juhe($T144,6),$C143,0)</f>
        <v>2.1029231718569501</v>
      </c>
      <c r="L146" s="120">
        <f ca="1">[1]!ripe([1]!Olekuvorrand($C143,$T144,$Y144,$X144,$W144,L$4,[1]!juhe($T144,6),TRUE),[1]!juhe($T144,6),$C143,0)</f>
        <v>2.2144974743248222</v>
      </c>
      <c r="M146" s="120">
        <f ca="1">[1]!ripe([1]!Olekuvorrand($C143,$T144,$Y144,$X144,$W144,M$4,[1]!juhe($T144,6),TRUE),[1]!juhe($T144,6),$C143,0)</f>
        <v>2.330333721740931</v>
      </c>
      <c r="N146" s="120">
        <f ca="1">[1]!ripe([1]!Olekuvorrand($C143,$T144,$Y144,$X144,$W144,N$4,[1]!juhe($T144,6),TRUE),[1]!juhe($T144,6),$C143,0)</f>
        <v>2.449847618144251</v>
      </c>
      <c r="O146" s="190"/>
      <c r="P146" s="221"/>
      <c r="Q146" s="142" t="s">
        <v>216</v>
      </c>
      <c r="R146"/>
      <c r="S146"/>
      <c r="T146"/>
      <c r="U146"/>
      <c r="V146"/>
      <c r="W146"/>
      <c r="X146"/>
      <c r="Y146"/>
      <c r="Z146"/>
    </row>
    <row r="147" spans="1:26" s="114" customFormat="1" x14ac:dyDescent="0.2">
      <c r="A147" s="187"/>
      <c r="B147" s="188"/>
      <c r="C147" s="189"/>
      <c r="D147" s="118" t="s">
        <v>195</v>
      </c>
      <c r="E147" s="120">
        <f ca="1">[1]!ripe([1]!Olekuvorrand($C143,$T144,$Y144,$X144,$W144,E$4,[1]!juhe($T144,6)),[1]!juhe($T144,6),$C143,0)</f>
        <v>1.6105704783914983</v>
      </c>
      <c r="F147" s="120">
        <f ca="1">[1]!ripe([1]!Olekuvorrand($C143,$T144,$Y144,$X144,$W144,F$4,[1]!juhe($T144,6)),[1]!juhe($T144,6),$C143,0)</f>
        <v>1.7114792641862639</v>
      </c>
      <c r="G147" s="120">
        <f ca="1">[1]!ripe([1]!Olekuvorrand($C143,$T144,$Y144,$X144,$W144,G$4,[1]!juhe($T144,6)),[1]!juhe($T144,6),$C143,0)</f>
        <v>1.819382065018686</v>
      </c>
      <c r="H147" s="120">
        <f ca="1">[1]!ripe([1]!Olekuvorrand($C143,$T144,$Y144,$X144,$W144,H$4,[1]!juhe($T144,6)),[1]!juhe($T144,6),$C143,0)</f>
        <v>1.9339417403973276</v>
      </c>
      <c r="I147" s="120">
        <f ca="1">[1]!ripe([1]!Olekuvorrand($C143,$T144,$Y144,$X144,$W144,I$4,[1]!juhe($T144,6)),[1]!juhe($T144,6),$C143,0)</f>
        <v>2.0545999505371935</v>
      </c>
      <c r="J147" s="120">
        <f ca="1">[1]!ripe([1]!Olekuvorrand($C143,$T144,$Y144,$X144,$W144,J$4,[1]!juhe($T144,6)),[1]!juhe($T144,6),$C143,0)</f>
        <v>2.1806094505017319</v>
      </c>
      <c r="K147" s="120">
        <f ca="1">[1]!ripe([1]!Olekuvorrand($C143,$T144,$Y144,$X144,$W144,K$4,[1]!juhe($T144,6)),[1]!juhe($T144,6),$C143,0)</f>
        <v>2.3110742600047409</v>
      </c>
      <c r="L147" s="120">
        <f ca="1">[1]!ripe([1]!Olekuvorrand($C143,$T144,$Y144,$X144,$W144,L$4,[1]!juhe($T144,6)),[1]!juhe($T144,6),$C143,0)</f>
        <v>2.4450214092432847</v>
      </c>
      <c r="M147" s="120">
        <f ca="1">[1]!ripe([1]!Olekuvorrand($C143,$T144,$Y144,$X144,$W144,M$4,[1]!juhe($T144,6)),[1]!juhe($T144,6),$C143,0)</f>
        <v>2.5814756961492726</v>
      </c>
      <c r="N147" s="120">
        <f ca="1">[1]!ripe([1]!Olekuvorrand($C143,$T144,$Y144,$X144,$W144,N$4,[1]!juhe($T144,6)),[1]!juhe($T144,6),$C143,0)</f>
        <v>2.7195030750011133</v>
      </c>
      <c r="O147" s="190"/>
      <c r="P147" s="221"/>
      <c r="Q147" s="142" t="s">
        <v>216</v>
      </c>
      <c r="R147"/>
      <c r="S147"/>
      <c r="T147"/>
      <c r="U147"/>
      <c r="V147"/>
      <c r="W147"/>
      <c r="X147"/>
      <c r="Y147"/>
      <c r="Z147"/>
    </row>
    <row r="148" spans="1:26" ht="22.5" x14ac:dyDescent="0.2">
      <c r="A148" s="108"/>
      <c r="B148" s="113" t="str">
        <f t="shared" ref="B148" ca="1" si="72">INDIRECT("Visangud!C" &amp; R148)</f>
        <v>L105B 165 - 166Y</v>
      </c>
      <c r="C148" s="106">
        <f ca="1">INDIRECT("Visangud!"&amp;Q148&amp;R148)</f>
        <v>182.89033681409401</v>
      </c>
      <c r="D148" s="10" t="s">
        <v>31</v>
      </c>
      <c r="E148" s="12">
        <f ca="1">[1]!ripe(E$143,[1]!juhe($T$7,6),$C148,0)</f>
        <v>1.5433184760137526</v>
      </c>
      <c r="F148" s="12">
        <f ca="1">[1]!ripe(F$143,[1]!juhe($T$7,6),$C148,0)</f>
        <v>1.6227723777146839</v>
      </c>
      <c r="G148" s="12">
        <f ca="1">[1]!ripe(G$143,[1]!juhe($T$7,6),$C148,0)</f>
        <v>1.7077477422228036</v>
      </c>
      <c r="H148" s="12">
        <f ca="1">[1]!ripe(H$143,[1]!juhe($T$7,6),$C148,0)</f>
        <v>1.7983337308769414</v>
      </c>
      <c r="I148" s="12">
        <f ca="1">[1]!ripe(I$143,[1]!juhe($T$7,6),$C148,0)</f>
        <v>1.8945080981606179</v>
      </c>
      <c r="J148" s="12">
        <f ca="1">[1]!ripe(J$143,[1]!juhe($T$7,6),$C148,0)</f>
        <v>1.996130318946312</v>
      </c>
      <c r="K148" s="12">
        <f ca="1">[1]!ripe(K$143,[1]!juhe($T$7,6),$C148,0)</f>
        <v>2.1029231718569501</v>
      </c>
      <c r="L148" s="12">
        <f ca="1">[1]!ripe(L$143,[1]!juhe($T$7,6),$C148,0)</f>
        <v>2.2144974743248222</v>
      </c>
      <c r="M148" s="12">
        <f ca="1">[1]!ripe(M$143,[1]!juhe($T$7,6),$C148,0)</f>
        <v>2.330333721740931</v>
      </c>
      <c r="N148" s="12">
        <f ca="1">[1]!ripe(N$143,[1]!juhe($T$7,6),$C148,0)</f>
        <v>2.449847618144251</v>
      </c>
      <c r="O148" s="117"/>
      <c r="Q148" s="139" t="s">
        <v>216</v>
      </c>
      <c r="R148">
        <v>78</v>
      </c>
      <c r="S148"/>
      <c r="T148"/>
      <c r="U148"/>
      <c r="V148"/>
      <c r="W148"/>
      <c r="X148"/>
      <c r="Y148"/>
      <c r="Z148"/>
    </row>
  </sheetData>
  <mergeCells count="73">
    <mergeCell ref="V2:Y2"/>
    <mergeCell ref="D3:N3"/>
    <mergeCell ref="A5:O5"/>
    <mergeCell ref="A30:A34"/>
    <mergeCell ref="B30:B34"/>
    <mergeCell ref="C30:C34"/>
    <mergeCell ref="O30:O34"/>
    <mergeCell ref="B6:B10"/>
    <mergeCell ref="C6:C10"/>
    <mergeCell ref="O6:O10"/>
    <mergeCell ref="A1:C1"/>
    <mergeCell ref="D1:L1"/>
    <mergeCell ref="M1:O1"/>
    <mergeCell ref="A2:C2"/>
    <mergeCell ref="D2:L2"/>
    <mergeCell ref="M2:O2"/>
    <mergeCell ref="A54:A58"/>
    <mergeCell ref="B54:B58"/>
    <mergeCell ref="C54:C58"/>
    <mergeCell ref="O54:O58"/>
    <mergeCell ref="A6:A10"/>
    <mergeCell ref="A17:A21"/>
    <mergeCell ref="B17:B21"/>
    <mergeCell ref="C17:C21"/>
    <mergeCell ref="O17:O21"/>
    <mergeCell ref="A36:A40"/>
    <mergeCell ref="B36:B40"/>
    <mergeCell ref="C36:C40"/>
    <mergeCell ref="O36:O40"/>
    <mergeCell ref="A44:A48"/>
    <mergeCell ref="B44:B48"/>
    <mergeCell ref="C44:C48"/>
    <mergeCell ref="O44:O48"/>
    <mergeCell ref="A109:A113"/>
    <mergeCell ref="B109:B113"/>
    <mergeCell ref="C109:C113"/>
    <mergeCell ref="O109:O113"/>
    <mergeCell ref="C61:C65"/>
    <mergeCell ref="O61:O65"/>
    <mergeCell ref="A71:A75"/>
    <mergeCell ref="B71:B75"/>
    <mergeCell ref="C71:C75"/>
    <mergeCell ref="O71:O75"/>
    <mergeCell ref="A80:A84"/>
    <mergeCell ref="B80:B84"/>
    <mergeCell ref="C80:C84"/>
    <mergeCell ref="O80:O84"/>
    <mergeCell ref="A61:A65"/>
    <mergeCell ref="B61:B65"/>
    <mergeCell ref="C92:C96"/>
    <mergeCell ref="O92:O96"/>
    <mergeCell ref="A124:A128"/>
    <mergeCell ref="B124:B128"/>
    <mergeCell ref="C124:C128"/>
    <mergeCell ref="O124:O128"/>
    <mergeCell ref="A92:A96"/>
    <mergeCell ref="B92:B96"/>
    <mergeCell ref="A101:A105"/>
    <mergeCell ref="B101:B105"/>
    <mergeCell ref="C101:C105"/>
    <mergeCell ref="O101:O105"/>
    <mergeCell ref="A117:A121"/>
    <mergeCell ref="B117:B121"/>
    <mergeCell ref="C117:C121"/>
    <mergeCell ref="O117:O121"/>
    <mergeCell ref="A137:A141"/>
    <mergeCell ref="B137:B141"/>
    <mergeCell ref="C137:C141"/>
    <mergeCell ref="O137:O141"/>
    <mergeCell ref="A143:A147"/>
    <mergeCell ref="B143:B147"/>
    <mergeCell ref="C143:C147"/>
    <mergeCell ref="O143:O147"/>
  </mergeCells>
  <pageMargins left="0.74803149606299213" right="0.28000000000000003" top="0.23622047244094491" bottom="0.39370078740157483" header="0.74803149606299213" footer="0.15748031496062992"/>
  <pageSetup paperSize="9" scale="94" fitToHeight="0" orientation="portrait" r:id="rId1"/>
  <headerFooter alignWithMargins="0">
    <oddHeader>&amp;RLehekülg &amp;P/&amp;N</oddHeader>
    <oddFooter>&amp;R&amp;D</oddFooter>
  </headerFooter>
  <rowBreaks count="2" manualBreakCount="2">
    <brk id="60" max="14" man="1"/>
    <brk id="124" max="1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2"/>
  <sheetViews>
    <sheetView view="pageBreakPreview" zoomScale="130" zoomScaleNormal="85" zoomScaleSheetLayoutView="130" workbookViewId="0">
      <selection activeCell="B11" sqref="B11:C11"/>
    </sheetView>
  </sheetViews>
  <sheetFormatPr defaultRowHeight="12.75" x14ac:dyDescent="0.2"/>
  <cols>
    <col min="1" max="1" width="3.85546875" customWidth="1"/>
    <col min="2" max="2" width="10.7109375" style="110" customWidth="1"/>
    <col min="3" max="3" width="7.5703125" customWidth="1"/>
    <col min="4" max="4" width="8.42578125" customWidth="1"/>
    <col min="5" max="14" width="5.7109375" customWidth="1"/>
    <col min="15" max="15" width="12" style="110" customWidth="1"/>
    <col min="16" max="16" width="7" customWidth="1"/>
    <col min="17" max="17" width="7" style="139" customWidth="1"/>
    <col min="18" max="18" width="11.42578125" style="103" customWidth="1"/>
    <col min="19" max="19" width="9.140625" style="101" customWidth="1"/>
    <col min="20" max="20" width="17.5703125" style="101" customWidth="1"/>
    <col min="21" max="22" width="10.42578125" style="101" customWidth="1"/>
    <col min="23" max="23" width="10.5703125" style="101" customWidth="1"/>
    <col min="24" max="25" width="10.42578125" style="101" customWidth="1"/>
    <col min="26" max="26" width="12.140625" style="99" customWidth="1"/>
    <col min="27" max="27" width="10.42578125" customWidth="1"/>
  </cols>
  <sheetData>
    <row r="1" spans="1:29" ht="32.25" customHeight="1" x14ac:dyDescent="0.2">
      <c r="A1" s="166"/>
      <c r="B1" s="191"/>
      <c r="C1" s="192"/>
      <c r="D1" s="170" t="str">
        <f>Köide</f>
        <v>330/110kV Tartu-Sindi õhuliini ehitus
II ehitusetapp, Puhja - Viljandi</v>
      </c>
      <c r="E1" s="170"/>
      <c r="F1" s="170"/>
      <c r="G1" s="170"/>
      <c r="H1" s="170"/>
      <c r="I1" s="170"/>
      <c r="J1" s="170"/>
      <c r="K1" s="170"/>
      <c r="L1" s="170"/>
      <c r="M1" s="193" t="s">
        <v>232</v>
      </c>
      <c r="N1" s="193"/>
      <c r="O1" s="194"/>
      <c r="R1" s="130" t="s">
        <v>200</v>
      </c>
      <c r="S1" s="131" t="s">
        <v>236</v>
      </c>
      <c r="T1" s="132"/>
      <c r="U1" s="132"/>
      <c r="V1" s="132"/>
      <c r="W1" s="132"/>
      <c r="X1" s="132"/>
      <c r="Y1" s="132"/>
      <c r="Z1" s="131"/>
    </row>
    <row r="2" spans="1:29" ht="27" customHeight="1" thickBot="1" x14ac:dyDescent="0.25">
      <c r="A2" s="168"/>
      <c r="B2" s="169"/>
      <c r="C2" s="195"/>
      <c r="D2" s="171" t="s">
        <v>101</v>
      </c>
      <c r="E2" s="171"/>
      <c r="F2" s="171"/>
      <c r="G2" s="171"/>
      <c r="H2" s="171"/>
      <c r="I2" s="171"/>
      <c r="J2" s="171"/>
      <c r="K2" s="171"/>
      <c r="L2" s="171"/>
      <c r="M2" s="196"/>
      <c r="N2" s="196"/>
      <c r="O2" s="197"/>
      <c r="R2" s="130"/>
      <c r="S2" s="132"/>
      <c r="T2" s="132"/>
      <c r="U2" s="132"/>
      <c r="V2" s="211" t="s">
        <v>77</v>
      </c>
      <c r="W2" s="211"/>
      <c r="X2" s="211"/>
      <c r="Y2" s="211"/>
      <c r="Z2" s="131"/>
    </row>
    <row r="3" spans="1:29" ht="45" customHeight="1" x14ac:dyDescent="0.2">
      <c r="A3" s="34" t="s">
        <v>33</v>
      </c>
      <c r="B3" s="149" t="s">
        <v>126</v>
      </c>
      <c r="C3" s="34" t="s">
        <v>129</v>
      </c>
      <c r="D3" s="198" t="s">
        <v>37</v>
      </c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62" t="s">
        <v>34</v>
      </c>
      <c r="Q3" s="220" t="s">
        <v>235</v>
      </c>
      <c r="R3" s="104" t="s">
        <v>76</v>
      </c>
      <c r="S3" s="133" t="s">
        <v>128</v>
      </c>
      <c r="T3" s="102" t="s">
        <v>54</v>
      </c>
      <c r="U3" s="132" t="s">
        <v>27</v>
      </c>
      <c r="V3" s="102" t="s">
        <v>10</v>
      </c>
      <c r="W3" s="102" t="s">
        <v>21</v>
      </c>
      <c r="X3" s="102" t="s">
        <v>127</v>
      </c>
      <c r="Y3" s="102" t="s">
        <v>22</v>
      </c>
      <c r="Z3" s="100" t="s">
        <v>81</v>
      </c>
    </row>
    <row r="4" spans="1:29" x14ac:dyDescent="0.2">
      <c r="A4" s="63"/>
      <c r="B4" s="64" t="s">
        <v>7</v>
      </c>
      <c r="C4" s="65" t="s">
        <v>8</v>
      </c>
      <c r="D4" s="66"/>
      <c r="E4" s="67">
        <v>-20</v>
      </c>
      <c r="F4" s="67">
        <v>-15</v>
      </c>
      <c r="G4" s="67">
        <v>-10</v>
      </c>
      <c r="H4" s="67">
        <v>-5</v>
      </c>
      <c r="I4" s="67">
        <v>0</v>
      </c>
      <c r="J4" s="67">
        <v>5</v>
      </c>
      <c r="K4" s="67">
        <v>10</v>
      </c>
      <c r="L4" s="67">
        <v>15</v>
      </c>
      <c r="M4" s="67">
        <v>20</v>
      </c>
      <c r="N4" s="67">
        <v>25</v>
      </c>
      <c r="O4" s="116" t="s">
        <v>36</v>
      </c>
      <c r="R4" s="130">
        <v>3</v>
      </c>
      <c r="S4" s="132">
        <v>4</v>
      </c>
      <c r="T4" s="132">
        <v>5</v>
      </c>
      <c r="U4" s="132">
        <v>6</v>
      </c>
      <c r="V4" s="132">
        <v>14</v>
      </c>
      <c r="W4" s="132">
        <v>15</v>
      </c>
      <c r="X4" s="132">
        <v>16</v>
      </c>
      <c r="Y4" s="132">
        <v>17</v>
      </c>
      <c r="Z4" s="131"/>
    </row>
    <row r="5" spans="1:29" ht="17.25" customHeight="1" x14ac:dyDescent="0.2">
      <c r="A5" s="201" t="str">
        <f ca="1">CONCATENATE( "Faasijuhe ",Z7,"x(",T7,")")</f>
        <v>Faasijuhe 3x(402-AL1/52-ST1A)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3"/>
      <c r="R5" s="130"/>
      <c r="S5" s="132"/>
      <c r="T5" s="132"/>
      <c r="U5" s="132"/>
      <c r="V5" s="132"/>
      <c r="W5" s="132"/>
      <c r="X5" s="132"/>
      <c r="Y5" s="132"/>
      <c r="Z5" s="131"/>
    </row>
    <row r="6" spans="1:29" s="114" customFormat="1" ht="12.75" hidden="1" customHeight="1" x14ac:dyDescent="0.2">
      <c r="A6" s="187">
        <v>1</v>
      </c>
      <c r="B6" s="188" t="str">
        <f ca="1">R7</f>
        <v>103Y- 109Y</v>
      </c>
      <c r="C6" s="189">
        <f ca="1">S7</f>
        <v>447.20458836298803</v>
      </c>
      <c r="D6" s="118" t="s">
        <v>130</v>
      </c>
      <c r="E6" s="119">
        <f ca="1">[1]!Olekuvorrand($C6,$T7,$Y7,$X7,$W7,E$4,[1]!juhe($T7,6),TRUE)</f>
        <v>75.41579008102417</v>
      </c>
      <c r="F6" s="119">
        <f ca="1">[1]!Olekuvorrand($C6,$T7,$Y7,$X7,$W7,F$4,[1]!juhe($T7,6),TRUE)</f>
        <v>73.879539966583252</v>
      </c>
      <c r="G6" s="119">
        <f ca="1">[1]!Olekuvorrand($C6,$T7,$Y7,$X7,$W7,G$4,[1]!juhe($T7,6),TRUE)</f>
        <v>72.407782077789307</v>
      </c>
      <c r="H6" s="119">
        <f ca="1">[1]!Olekuvorrand($C6,$T7,$Y7,$X7,$W7,H$4,[1]!juhe($T7,6),TRUE)</f>
        <v>70.997416973114014</v>
      </c>
      <c r="I6" s="119">
        <f ca="1">[1]!Olekuvorrand($C6,$T7,$Y7,$X7,$W7,I$4,[1]!juhe($T7,6),TRUE)</f>
        <v>69.645464420318604</v>
      </c>
      <c r="J6" s="119">
        <f ca="1">[1]!Olekuvorrand($C6,$T7,$Y7,$X7,$W7,J$4,[1]!juhe($T7,6),TRUE)</f>
        <v>68.349301815032959</v>
      </c>
      <c r="K6" s="119">
        <f ca="1">[1]!Olekuvorrand($C6,$T7,$Y7,$X7,$W7,K$4,[1]!juhe($T7,6),TRUE)</f>
        <v>67.105948925018311</v>
      </c>
      <c r="L6" s="119">
        <f ca="1">[1]!Olekuvorrand($C6,$T7,$Y7,$X7,$W7,L$4,[1]!juhe($T7,6),TRUE)</f>
        <v>65.913021564483643</v>
      </c>
      <c r="M6" s="119">
        <f ca="1">[1]!Olekuvorrand($C6,$T7,$Y7,$X7,$W7,M$4,[1]!juhe($T7,6),TRUE)</f>
        <v>64.767777919769287</v>
      </c>
      <c r="N6" s="119">
        <f ca="1">[1]!Olekuvorrand($C6,$T7,$Y7,$X7,$W7,N$4,[1]!juhe($T7,6),TRUE)</f>
        <v>63.667953014373779</v>
      </c>
      <c r="O6" s="190">
        <f ca="1">U7</f>
        <v>65</v>
      </c>
      <c r="P6" s="221"/>
      <c r="Q6" s="142"/>
      <c r="R6" s="128"/>
    </row>
    <row r="7" spans="1:29" s="114" customFormat="1" x14ac:dyDescent="0.2">
      <c r="A7" s="187"/>
      <c r="B7" s="188"/>
      <c r="C7" s="189"/>
      <c r="D7" s="118" t="s">
        <v>32</v>
      </c>
      <c r="E7" s="119">
        <f ca="1">E6*[1]!juhe($T7,2)/10</f>
        <v>3427.6476591825485</v>
      </c>
      <c r="F7" s="119">
        <f ca="1">F6*[1]!juhe($T7,2)/10</f>
        <v>3357.8250914812088</v>
      </c>
      <c r="G7" s="119">
        <f ca="1">G6*[1]!juhe($T7,2)/10</f>
        <v>3290.933695435524</v>
      </c>
      <c r="H7" s="119">
        <f ca="1">H6*[1]!juhe($T7,2)/10</f>
        <v>3226.8326014280319</v>
      </c>
      <c r="I7" s="119">
        <f ca="1">I6*[1]!juhe($T7,2)/10</f>
        <v>3165.3863579034805</v>
      </c>
      <c r="J7" s="119">
        <f ca="1">J6*[1]!juhe($T7,2)/10</f>
        <v>3106.475767493248</v>
      </c>
      <c r="K7" s="119">
        <f ca="1">K6*[1]!juhe($T7,2)/10</f>
        <v>3049.9653786420822</v>
      </c>
      <c r="L7" s="119">
        <f ca="1">L6*[1]!juhe($T7,2)/10</f>
        <v>2995.7468301057816</v>
      </c>
      <c r="M7" s="119">
        <f ca="1">M6*[1]!juhe($T7,2)/10</f>
        <v>2943.6955064535141</v>
      </c>
      <c r="N7" s="119">
        <f ca="1">N6*[1]!juhe($T7,2)/10</f>
        <v>2893.7084645032883</v>
      </c>
      <c r="O7" s="190"/>
      <c r="P7" s="221"/>
      <c r="Q7" s="141" t="s">
        <v>197</v>
      </c>
      <c r="R7" s="129" t="str">
        <f ca="1">INDIRECT("'"&amp;$S$1&amp;"'!"&amp;$Q7&amp;R$4)</f>
        <v>103Y- 109Y</v>
      </c>
      <c r="S7" s="129">
        <f ca="1">INDIRECT("'"&amp;$S$1&amp;"'!"&amp;$Q7&amp;S$4)</f>
        <v>447.20458836298803</v>
      </c>
      <c r="T7" s="129" t="str">
        <f ca="1">INDIRECT("'"&amp;$S$1&amp;"'!"&amp;$Q7&amp;T$4)</f>
        <v>402-AL1/52-ST1A</v>
      </c>
      <c r="U7" s="129">
        <f ca="1">INDIRECT("'"&amp;$S$1&amp;"'!"&amp;$Q7&amp;U$4)</f>
        <v>65</v>
      </c>
      <c r="V7" s="129">
        <f ca="1">INDIRECT("'"&amp;$S$1&amp;"'!"&amp;$Q7&amp;V$4)</f>
        <v>5</v>
      </c>
      <c r="W7" s="129">
        <f ca="1">INDIRECT("'"&amp;$S$1&amp;"'!"&amp;$Q7&amp;W$4)</f>
        <v>6.7896360407287637E-2</v>
      </c>
      <c r="X7" s="129">
        <f ca="1">INDIRECT("'"&amp;$S$1&amp;"'!"&amp;$Q7&amp;X$4)</f>
        <v>-5</v>
      </c>
      <c r="Y7" s="129">
        <f ca="1">INDIRECT("'"&amp;$S$1&amp;"'!"&amp;$Q7&amp;Y$4)</f>
        <v>118.66408586502075</v>
      </c>
      <c r="Z7" s="129">
        <v>3</v>
      </c>
    </row>
    <row r="8" spans="1:29" s="114" customFormat="1" x14ac:dyDescent="0.2">
      <c r="A8" s="187"/>
      <c r="B8" s="188"/>
      <c r="C8" s="189"/>
      <c r="D8" s="118" t="str">
        <f>CONCATENATE(Z7,"T, [daN]")</f>
        <v>3T, [daN]</v>
      </c>
      <c r="E8" s="119">
        <f ca="1">E7*$Z7</f>
        <v>10282.942977547646</v>
      </c>
      <c r="F8" s="119">
        <f t="shared" ref="F8:N8" ca="1" si="0">F7*$Z7</f>
        <v>10073.475274443626</v>
      </c>
      <c r="G8" s="119">
        <f t="shared" ca="1" si="0"/>
        <v>9872.801086306572</v>
      </c>
      <c r="H8" s="119">
        <f t="shared" ca="1" si="0"/>
        <v>9680.4978042840958</v>
      </c>
      <c r="I8" s="119">
        <f t="shared" ca="1" si="0"/>
        <v>9496.1590737104416</v>
      </c>
      <c r="J8" s="119">
        <f t="shared" ca="1" si="0"/>
        <v>9319.427302479744</v>
      </c>
      <c r="K8" s="119">
        <f t="shared" ca="1" si="0"/>
        <v>9149.8961359262466</v>
      </c>
      <c r="L8" s="119">
        <f t="shared" ca="1" si="0"/>
        <v>8987.2404903173447</v>
      </c>
      <c r="M8" s="119">
        <f t="shared" ca="1" si="0"/>
        <v>8831.0865193605423</v>
      </c>
      <c r="N8" s="119">
        <f t="shared" ca="1" si="0"/>
        <v>8681.1253935098648</v>
      </c>
      <c r="O8" s="190"/>
      <c r="P8" s="221"/>
      <c r="Q8" s="141" t="s">
        <v>197</v>
      </c>
      <c r="R8"/>
      <c r="S8"/>
      <c r="T8"/>
      <c r="U8"/>
      <c r="V8"/>
      <c r="W8"/>
      <c r="X8"/>
      <c r="Y8"/>
      <c r="Z8"/>
    </row>
    <row r="9" spans="1:29" s="114" customFormat="1" x14ac:dyDescent="0.2">
      <c r="A9" s="187"/>
      <c r="B9" s="188"/>
      <c r="C9" s="189"/>
      <c r="D9" s="118" t="s">
        <v>31</v>
      </c>
      <c r="E9" s="120">
        <f ca="1">[1]!ripe([1]!Olekuvorrand($C6,$T7,$Y7,$X7,$W7,E$4,[1]!juhe($T7,6),TRUE),[1]!juhe($T7,6),$C6,0)</f>
        <v>10.972061246091982</v>
      </c>
      <c r="F9" s="120">
        <f ca="1">[1]!ripe([1]!Olekuvorrand($C6,$T7,$Y7,$X7,$W7,F$4,[1]!juhe($T7,6),TRUE),[1]!juhe($T7,6),$C6,0)</f>
        <v>11.200214133245661</v>
      </c>
      <c r="G9" s="120">
        <f ca="1">[1]!ripe([1]!Olekuvorrand($C6,$T7,$Y7,$X7,$W7,G$4,[1]!juhe($T7,6),TRUE),[1]!juhe($T7,6),$C6,0)</f>
        <v>11.427869269665619</v>
      </c>
      <c r="H9" s="120">
        <f ca="1">[1]!ripe([1]!Olekuvorrand($C6,$T7,$Y7,$X7,$W7,H$4,[1]!juhe($T7,6),TRUE),[1]!juhe($T7,6),$C6,0)</f>
        <v>11.654884120710566</v>
      </c>
      <c r="I9" s="120">
        <f ca="1">[1]!ripe([1]!Olekuvorrand($C6,$T7,$Y7,$X7,$W7,I$4,[1]!juhe($T7,6),TRUE),[1]!juhe($T7,6),$C6,0)</f>
        <v>11.881127860639342</v>
      </c>
      <c r="J9" s="120">
        <f ca="1">[1]!ripe([1]!Olekuvorrand($C6,$T7,$Y7,$X7,$W7,J$4,[1]!juhe($T7,6),TRUE),[1]!juhe($T7,6),$C6,0)</f>
        <v>12.106439213244718</v>
      </c>
      <c r="K9" s="120">
        <f ca="1">[1]!ripe([1]!Olekuvorrand($C6,$T7,$Y7,$X7,$W7,K$4,[1]!juhe($T7,6),TRUE),[1]!juhe($T7,6),$C6,0)</f>
        <v>12.330749820943502</v>
      </c>
      <c r="L9" s="120">
        <f ca="1">[1]!ripe([1]!Olekuvorrand($C6,$T7,$Y7,$X7,$W7,L$4,[1]!juhe($T7,6),TRUE),[1]!juhe($T7,6),$C6,0)</f>
        <v>12.553917997552137</v>
      </c>
      <c r="M9" s="120">
        <f ca="1">[1]!ripe([1]!Olekuvorrand($C6,$T7,$Y7,$X7,$W7,M$4,[1]!juhe($T7,6),TRUE),[1]!juhe($T7,6),$C6,0)</f>
        <v>12.775900212547556</v>
      </c>
      <c r="N9" s="120">
        <f ca="1">[1]!ripe([1]!Olekuvorrand($C6,$T7,$Y7,$X7,$W7,N$4,[1]!juhe($T7,6),TRUE),[1]!juhe($T7,6),$C6,0)</f>
        <v>12.99659606622822</v>
      </c>
      <c r="O9" s="190"/>
      <c r="P9" s="221"/>
      <c r="Q9" s="141" t="s">
        <v>197</v>
      </c>
      <c r="R9"/>
      <c r="S9"/>
      <c r="T9"/>
      <c r="U9"/>
      <c r="V9"/>
      <c r="W9"/>
      <c r="X9"/>
      <c r="Y9"/>
      <c r="Z9"/>
    </row>
    <row r="10" spans="1:29" s="114" customFormat="1" x14ac:dyDescent="0.2">
      <c r="A10" s="187"/>
      <c r="B10" s="188"/>
      <c r="C10" s="189"/>
      <c r="D10" s="118" t="s">
        <v>195</v>
      </c>
      <c r="E10" s="120">
        <f ca="1">[1]!ripe([1]!Olekuvorrand($C6,$T7,$Y7,$X7,$W7,E$4,[1]!juhe($T7,6)),[1]!juhe($T7,6),$C6,0)</f>
        <v>11.528080356555758</v>
      </c>
      <c r="F10" s="120">
        <f ca="1">[1]!ripe([1]!Olekuvorrand($C6,$T7,$Y7,$X7,$W7,F$4,[1]!juhe($T7,6)),[1]!juhe($T7,6),$C6,0)</f>
        <v>11.772296854769872</v>
      </c>
      <c r="G10" s="120">
        <f ca="1">[1]!ripe([1]!Olekuvorrand($C6,$T7,$Y7,$X7,$W7,G$4,[1]!juhe($T7,6)),[1]!juhe($T7,6),$C6,0)</f>
        <v>12.014718764011945</v>
      </c>
      <c r="H10" s="120">
        <f ca="1">[1]!ripe([1]!Olekuvorrand($C6,$T7,$Y7,$X7,$W7,H$4,[1]!juhe($T7,6)),[1]!juhe($T7,6),$C6,0)</f>
        <v>12.255205961787357</v>
      </c>
      <c r="I10" s="120">
        <f ca="1">[1]!ripe([1]!Olekuvorrand($C6,$T7,$Y7,$X7,$W7,I$4,[1]!juhe($T7,6)),[1]!juhe($T7,6),$C6,0)</f>
        <v>12.49374485710833</v>
      </c>
      <c r="J10" s="120">
        <f ca="1">[1]!ripe([1]!Olekuvorrand($C6,$T7,$Y7,$X7,$W7,J$4,[1]!juhe($T7,6)),[1]!juhe($T7,6),$C6,0)</f>
        <v>12.730256892964784</v>
      </c>
      <c r="K10" s="120">
        <f ca="1">[1]!ripe([1]!Olekuvorrand($C6,$T7,$Y7,$X7,$W7,K$4,[1]!juhe($T7,6)),[1]!juhe($T7,6),$C6,0)</f>
        <v>12.96469927284118</v>
      </c>
      <c r="L10" s="120">
        <f ca="1">[1]!ripe([1]!Olekuvorrand($C6,$T7,$Y7,$X7,$W7,L$4,[1]!juhe($T7,6)),[1]!juhe($T7,6),$C6,0)</f>
        <v>13.197065451767026</v>
      </c>
      <c r="M10" s="120">
        <f ca="1">[1]!ripe([1]!Olekuvorrand($C6,$T7,$Y7,$X7,$W7,M$4,[1]!juhe($T7,6)),[1]!juhe($T7,6),$C6,0)</f>
        <v>13.427359255809359</v>
      </c>
      <c r="N10" s="120">
        <f ca="1">[1]!ripe([1]!Olekuvorrand($C6,$T7,$Y7,$X7,$W7,N$4,[1]!juhe($T7,6)),[1]!juhe($T7,6),$C6,0)</f>
        <v>13.655509548379067</v>
      </c>
      <c r="O10" s="190"/>
      <c r="P10" s="221"/>
      <c r="Q10" s="141" t="s">
        <v>197</v>
      </c>
      <c r="R10"/>
      <c r="S10"/>
      <c r="T10"/>
      <c r="U10"/>
      <c r="V10"/>
      <c r="W10"/>
      <c r="X10"/>
      <c r="Y10"/>
      <c r="Z10"/>
      <c r="AC10" s="121"/>
    </row>
    <row r="11" spans="1:29" x14ac:dyDescent="0.2">
      <c r="A11" s="105"/>
      <c r="B11" s="113" t="str">
        <f ca="1">INDIRECT("Visangud!C" &amp; R11)</f>
        <v>103Y-104Y</v>
      </c>
      <c r="C11" s="106">
        <f ca="1">INDIRECT("Visangud!"&amp;Q11&amp;R11)</f>
        <v>427.66737956155202</v>
      </c>
      <c r="D11" s="10" t="s">
        <v>31</v>
      </c>
      <c r="E11" s="12">
        <f ca="1">[1]!ripe(E$6,[1]!juhe($T$7,6),$C11,0)</f>
        <v>10.034320599678788</v>
      </c>
      <c r="F11" s="12">
        <f ca="1">[1]!ripe(F$6,[1]!juhe($T$7,6),$C11,0)</f>
        <v>10.242974121026727</v>
      </c>
      <c r="G11" s="12">
        <f ca="1">[1]!ripe(G$6,[1]!juhe($T$7,6),$C11,0)</f>
        <v>10.451172432516751</v>
      </c>
      <c r="H11" s="12">
        <f ca="1">[1]!ripe(H$6,[1]!juhe($T$7,6),$C11,0)</f>
        <v>10.658785181405177</v>
      </c>
      <c r="I11" s="12">
        <f ca="1">[1]!ripe(I$6,[1]!juhe($T$7,6),$C11,0)</f>
        <v>10.86569272313297</v>
      </c>
      <c r="J11" s="12">
        <f ca="1">[1]!ripe(J$6,[1]!juhe($T$7,6),$C11,0)</f>
        <v>11.071747565161388</v>
      </c>
      <c r="K11" s="12">
        <f ca="1">[1]!ripe(K$6,[1]!juhe($T$7,6),$C11,0)</f>
        <v>11.276887192171772</v>
      </c>
      <c r="L11" s="12">
        <f ca="1">[1]!ripe(L$6,[1]!juhe($T$7,6),$C11,0)</f>
        <v>11.480982027363691</v>
      </c>
      <c r="M11" s="12">
        <f ca="1">[1]!ripe(M$6,[1]!juhe($T$7,6),$C11,0)</f>
        <v>11.683992260603523</v>
      </c>
      <c r="N11" s="12">
        <f ca="1">[1]!ripe(N$6,[1]!juhe($T$7,6),$C11,0)</f>
        <v>11.88582607297313</v>
      </c>
      <c r="O11" s="107"/>
      <c r="Q11" s="141" t="s">
        <v>197</v>
      </c>
      <c r="R11">
        <v>15</v>
      </c>
      <c r="S11"/>
      <c r="T11"/>
      <c r="U11"/>
      <c r="V11"/>
      <c r="W11"/>
      <c r="X11"/>
      <c r="Y11"/>
      <c r="Z11"/>
      <c r="AC11" s="11"/>
    </row>
    <row r="12" spans="1:29" x14ac:dyDescent="0.2">
      <c r="A12" s="105"/>
      <c r="B12" s="113" t="str">
        <f t="shared" ref="B12:B16" ca="1" si="1">INDIRECT("Visangud!C" &amp; R12)</f>
        <v>104Y-105Y</v>
      </c>
      <c r="C12" s="106">
        <f t="shared" ref="C12:C16" ca="1" si="2">INDIRECT("Visangud!"&amp;Q12&amp;R12)</f>
        <v>450.81823399219502</v>
      </c>
      <c r="D12" s="10" t="s">
        <v>31</v>
      </c>
      <c r="E12" s="12">
        <f ca="1">[1]!ripe(E$6,[1]!juhe($T$7,6),$C12,0)</f>
        <v>11.150097585792931</v>
      </c>
      <c r="F12" s="12">
        <f ca="1">[1]!ripe(F$6,[1]!juhe($T$7,6),$C12,0)</f>
        <v>11.381952558089045</v>
      </c>
      <c r="G12" s="12">
        <f ca="1">[1]!ripe(G$6,[1]!juhe($T$7,6),$C12,0)</f>
        <v>11.613301702981365</v>
      </c>
      <c r="H12" s="12">
        <f ca="1">[1]!ripe(H$6,[1]!juhe($T$7,6),$C12,0)</f>
        <v>11.844000173013784</v>
      </c>
      <c r="I12" s="12">
        <f ca="1">[1]!ripe(I$6,[1]!juhe($T$7,6),$C12,0)</f>
        <v>12.073915019622858</v>
      </c>
      <c r="J12" s="12">
        <f ca="1">[1]!ripe(J$6,[1]!juhe($T$7,6),$C12,0)</f>
        <v>12.302882349679619</v>
      </c>
      <c r="K12" s="12">
        <f ca="1">[1]!ripe(K$6,[1]!juhe($T$7,6),$C12,0)</f>
        <v>12.530832696407842</v>
      </c>
      <c r="L12" s="12">
        <f ca="1">[1]!ripe(L$6,[1]!juhe($T$7,6),$C12,0)</f>
        <v>12.757622074576512</v>
      </c>
      <c r="M12" s="12">
        <f ca="1">[1]!ripe(M$6,[1]!juhe($T$7,6),$C12,0)</f>
        <v>12.983206247321716</v>
      </c>
      <c r="N12" s="12">
        <f ca="1">[1]!ripe(N$6,[1]!juhe($T$7,6),$C12,0)</f>
        <v>13.207483185822744</v>
      </c>
      <c r="O12" s="107"/>
      <c r="Q12" s="141" t="s">
        <v>197</v>
      </c>
      <c r="R12">
        <v>16</v>
      </c>
      <c r="S12"/>
      <c r="T12"/>
      <c r="U12"/>
      <c r="V12"/>
      <c r="W12"/>
      <c r="X12"/>
      <c r="Y12"/>
      <c r="Z12"/>
      <c r="AC12" s="11"/>
    </row>
    <row r="13" spans="1:29" x14ac:dyDescent="0.2">
      <c r="A13" s="105"/>
      <c r="B13" s="113" t="str">
        <f t="shared" ca="1" si="1"/>
        <v>105Y-106Y</v>
      </c>
      <c r="C13" s="106">
        <f t="shared" ca="1" si="2"/>
        <v>450.82239030482776</v>
      </c>
      <c r="D13" s="10" t="s">
        <v>31</v>
      </c>
      <c r="E13" s="12">
        <f ca="1">[1]!ripe(E$6,[1]!juhe($T$7,6),$C13,0)</f>
        <v>11.15030318308953</v>
      </c>
      <c r="F13" s="12">
        <f ca="1">[1]!ripe(F$6,[1]!juhe($T$7,6),$C13,0)</f>
        <v>11.382162430572937</v>
      </c>
      <c r="G13" s="12">
        <f ca="1">[1]!ripe(G$6,[1]!juhe($T$7,6),$C13,0)</f>
        <v>11.613515841325567</v>
      </c>
      <c r="H13" s="12">
        <f ca="1">[1]!ripe(H$6,[1]!juhe($T$7,6),$C13,0)</f>
        <v>11.844218565220466</v>
      </c>
      <c r="I13" s="12">
        <f ca="1">[1]!ripe(I$6,[1]!juhe($T$7,6),$C13,0)</f>
        <v>12.074137651242742</v>
      </c>
      <c r="J13" s="12">
        <f ca="1">[1]!ripe(J$6,[1]!juhe($T$7,6),$C13,0)</f>
        <v>12.303109203241393</v>
      </c>
      <c r="K13" s="12">
        <f ca="1">[1]!ripe(K$6,[1]!juhe($T$7,6),$C13,0)</f>
        <v>12.531063753159289</v>
      </c>
      <c r="L13" s="12">
        <f ca="1">[1]!ripe(L$6,[1]!juhe($T$7,6),$C13,0)</f>
        <v>12.757857313110467</v>
      </c>
      <c r="M13" s="12">
        <f ca="1">[1]!ripe(M$6,[1]!juhe($T$7,6),$C13,0)</f>
        <v>12.983445645415328</v>
      </c>
      <c r="N13" s="12">
        <f ca="1">[1]!ripe(N$6,[1]!juhe($T$7,6),$C13,0)</f>
        <v>13.207726719371841</v>
      </c>
      <c r="O13" s="107"/>
      <c r="Q13" s="141" t="s">
        <v>197</v>
      </c>
      <c r="R13">
        <v>17</v>
      </c>
      <c r="S13"/>
      <c r="T13"/>
      <c r="U13"/>
      <c r="V13"/>
      <c r="W13"/>
      <c r="X13"/>
      <c r="Y13"/>
      <c r="Z13"/>
      <c r="AC13" s="11"/>
    </row>
    <row r="14" spans="1:29" x14ac:dyDescent="0.2">
      <c r="A14" s="105"/>
      <c r="B14" s="113" t="str">
        <f t="shared" ca="1" si="1"/>
        <v>106Y-107Y</v>
      </c>
      <c r="C14" s="106">
        <f t="shared" ca="1" si="2"/>
        <v>450.81940475091346</v>
      </c>
      <c r="D14" s="10" t="s">
        <v>31</v>
      </c>
      <c r="E14" s="12">
        <f ca="1">[1]!ripe(E$6,[1]!juhe($T$7,6),$C14,0)</f>
        <v>11.150155498671898</v>
      </c>
      <c r="F14" s="12">
        <f ca="1">[1]!ripe(F$6,[1]!juhe($T$7,6),$C14,0)</f>
        <v>11.382011675207602</v>
      </c>
      <c r="G14" s="12">
        <f ca="1">[1]!ripe(G$6,[1]!juhe($T$7,6),$C14,0)</f>
        <v>11.613362021712277</v>
      </c>
      <c r="H14" s="12">
        <f ca="1">[1]!ripe(H$6,[1]!juhe($T$7,6),$C14,0)</f>
        <v>11.844061689977488</v>
      </c>
      <c r="I14" s="12">
        <f ca="1">[1]!ripe(I$6,[1]!juhe($T$7,6),$C14,0)</f>
        <v>12.073977730749267</v>
      </c>
      <c r="J14" s="12">
        <f ca="1">[1]!ripe(J$6,[1]!juhe($T$7,6),$C14,0)</f>
        <v>12.302946250047393</v>
      </c>
      <c r="K14" s="12">
        <f ca="1">[1]!ripe(K$6,[1]!juhe($T$7,6),$C14,0)</f>
        <v>12.530897780734836</v>
      </c>
      <c r="L14" s="12">
        <f ca="1">[1]!ripe(L$6,[1]!juhe($T$7,6),$C14,0)</f>
        <v>12.757688336832731</v>
      </c>
      <c r="M14" s="12">
        <f ca="1">[1]!ripe(M$6,[1]!juhe($T$7,6),$C14,0)</f>
        <v>12.983273681247402</v>
      </c>
      <c r="N14" s="12">
        <f ca="1">[1]!ripe(N$6,[1]!juhe($T$7,6),$C14,0)</f>
        <v>13.207551784628206</v>
      </c>
      <c r="O14" s="107"/>
      <c r="Q14" s="141" t="s">
        <v>197</v>
      </c>
      <c r="R14">
        <v>18</v>
      </c>
      <c r="S14"/>
      <c r="T14"/>
      <c r="U14"/>
      <c r="V14"/>
      <c r="W14"/>
      <c r="X14"/>
      <c r="Y14"/>
      <c r="Z14"/>
      <c r="AC14" s="11"/>
    </row>
    <row r="15" spans="1:29" x14ac:dyDescent="0.2">
      <c r="A15" s="105"/>
      <c r="B15" s="113" t="str">
        <f t="shared" ca="1" si="1"/>
        <v>107Y-108Y</v>
      </c>
      <c r="C15" s="106">
        <f t="shared" ca="1" si="2"/>
        <v>450.88263938651085</v>
      </c>
      <c r="D15" s="10" t="s">
        <v>31</v>
      </c>
      <c r="E15" s="12">
        <f ca="1">[1]!ripe(E$6,[1]!juhe($T$7,6),$C15,0)</f>
        <v>11.15328369351657</v>
      </c>
      <c r="F15" s="12">
        <f ca="1">[1]!ripe(F$6,[1]!juhe($T$7,6),$C15,0)</f>
        <v>11.385204917691855</v>
      </c>
      <c r="G15" s="12">
        <f ca="1">[1]!ripe(G$6,[1]!juhe($T$7,6),$C15,0)</f>
        <v>11.616620169924646</v>
      </c>
      <c r="H15" s="12">
        <f ca="1">[1]!ripe(H$6,[1]!juhe($T$7,6),$C15,0)</f>
        <v>11.847384561369102</v>
      </c>
      <c r="I15" s="12">
        <f ca="1">[1]!ripe(I$6,[1]!juhe($T$7,6),$C15,0)</f>
        <v>12.077365105472115</v>
      </c>
      <c r="J15" s="12">
        <f ca="1">[1]!ripe(J$6,[1]!juhe($T$7,6),$C15,0)</f>
        <v>12.306397862272735</v>
      </c>
      <c r="K15" s="12">
        <f ca="1">[1]!ripe(K$6,[1]!juhe($T$7,6),$C15,0)</f>
        <v>12.534413345144811</v>
      </c>
      <c r="L15" s="12">
        <f ca="1">[1]!ripe(L$6,[1]!juhe($T$7,6),$C15,0)</f>
        <v>12.761267527713967</v>
      </c>
      <c r="M15" s="12">
        <f ca="1">[1]!ripe(M$6,[1]!juhe($T$7,6),$C15,0)</f>
        <v>12.98691616047574</v>
      </c>
      <c r="N15" s="12">
        <f ca="1">[1]!ripe(N$6,[1]!juhe($T$7,6),$C15,0)</f>
        <v>13.211257185454979</v>
      </c>
      <c r="O15" s="107"/>
      <c r="Q15" s="141" t="s">
        <v>197</v>
      </c>
      <c r="R15">
        <v>19</v>
      </c>
      <c r="S15"/>
      <c r="T15"/>
      <c r="U15"/>
      <c r="V15"/>
      <c r="W15"/>
      <c r="X15"/>
      <c r="Y15"/>
      <c r="Z15"/>
      <c r="AC15" s="11"/>
    </row>
    <row r="16" spans="1:29" x14ac:dyDescent="0.2">
      <c r="A16" s="105"/>
      <c r="B16" s="113" t="str">
        <f t="shared" ca="1" si="1"/>
        <v>108Y-109Y</v>
      </c>
      <c r="C16" s="106">
        <f t="shared" ca="1" si="2"/>
        <v>450.73649608150839</v>
      </c>
      <c r="D16" s="10" t="s">
        <v>31</v>
      </c>
      <c r="E16" s="12">
        <f ca="1">[1]!ripe(E$6,[1]!juhe($T$7,6),$C16,0)</f>
        <v>11.146054701143754</v>
      </c>
      <c r="F16" s="12">
        <f ca="1">[1]!ripe(F$6,[1]!juhe($T$7,6),$C16,0)</f>
        <v>11.377825605753364</v>
      </c>
      <c r="G16" s="12">
        <f ca="1">[1]!ripe(G$6,[1]!juhe($T$7,6),$C16,0)</f>
        <v>11.609090866365811</v>
      </c>
      <c r="H16" s="12">
        <f ca="1">[1]!ripe(H$6,[1]!juhe($T$7,6),$C16,0)</f>
        <v>11.83970568804485</v>
      </c>
      <c r="I16" s="12">
        <f ca="1">[1]!ripe(I$6,[1]!juhe($T$7,6),$C16,0)</f>
        <v>12.069537170432506</v>
      </c>
      <c r="J16" s="12">
        <f ca="1">[1]!ripe(J$6,[1]!juhe($T$7,6),$C16,0)</f>
        <v>12.298421479825391</v>
      </c>
      <c r="K16" s="12">
        <f ca="1">[1]!ripe(K$6,[1]!juhe($T$7,6),$C16,0)</f>
        <v>12.526289174635057</v>
      </c>
      <c r="L16" s="12">
        <f ca="1">[1]!ripe(L$6,[1]!juhe($T$7,6),$C16,0)</f>
        <v>12.752996321837715</v>
      </c>
      <c r="M16" s="12">
        <f ca="1">[1]!ripe(M$6,[1]!juhe($T$7,6),$C16,0)</f>
        <v>12.978498700609185</v>
      </c>
      <c r="N16" s="12">
        <f ca="1">[1]!ripe(N$6,[1]!juhe($T$7,6),$C16,0)</f>
        <v>13.202694319123111</v>
      </c>
      <c r="O16" s="107"/>
      <c r="Q16" s="141" t="s">
        <v>197</v>
      </c>
      <c r="R16">
        <v>20</v>
      </c>
      <c r="S16"/>
      <c r="T16"/>
      <c r="U16"/>
      <c r="V16"/>
      <c r="W16"/>
      <c r="X16"/>
      <c r="Y16"/>
      <c r="Z16"/>
      <c r="AC16" s="11"/>
    </row>
    <row r="17" spans="1:29" s="114" customFormat="1" hidden="1" x14ac:dyDescent="0.2">
      <c r="A17" s="187">
        <v>2</v>
      </c>
      <c r="B17" s="188" t="str">
        <f ca="1">R18</f>
        <v>109Y- 117Y</v>
      </c>
      <c r="C17" s="189">
        <f ca="1">S18</f>
        <v>443.42681236767572</v>
      </c>
      <c r="D17" s="118" t="s">
        <v>130</v>
      </c>
      <c r="E17" s="119">
        <f ca="1">[1]!Olekuvorrand($C17,$T18,$Y18,$X18,$W18,E$4,[1]!juhe($T18,6),TRUE)</f>
        <v>75.557172298431396</v>
      </c>
      <c r="F17" s="119">
        <f ca="1">[1]!Olekuvorrand($C17,$T18,$Y18,$X18,$W18,F$4,[1]!juhe($T18,6),TRUE)</f>
        <v>73.997080326080322</v>
      </c>
      <c r="G17" s="119">
        <f ca="1">[1]!Olekuvorrand($C17,$T18,$Y18,$X18,$W18,G$4,[1]!juhe($T18,6),TRUE)</f>
        <v>72.503030300140381</v>
      </c>
      <c r="H17" s="119">
        <f ca="1">[1]!Olekuvorrand($C17,$T18,$Y18,$X18,$W18,H$4,[1]!juhe($T18,6),TRUE)</f>
        <v>71.07168436050415</v>
      </c>
      <c r="I17" s="119">
        <f ca="1">[1]!Olekuvorrand($C17,$T18,$Y18,$X18,$W18,I$4,[1]!juhe($T18,6),TRUE)</f>
        <v>69.700181484222412</v>
      </c>
      <c r="J17" s="119">
        <f ca="1">[1]!Olekuvorrand($C17,$T18,$Y18,$X18,$W18,J$4,[1]!juhe($T18,6),TRUE)</f>
        <v>68.385660648345947</v>
      </c>
      <c r="K17" s="119">
        <f ca="1">[1]!Olekuvorrand($C17,$T18,$Y18,$X18,$W18,K$4,[1]!juhe($T18,6),TRUE)</f>
        <v>67.125260829925537</v>
      </c>
      <c r="L17" s="119">
        <f ca="1">[1]!Olekuvorrand($C17,$T18,$Y18,$X18,$W18,L$4,[1]!juhe($T18,6),TRUE)</f>
        <v>65.916240215301514</v>
      </c>
      <c r="M17" s="119">
        <f ca="1">[1]!Olekuvorrand($C17,$T18,$Y18,$X18,$W18,M$4,[1]!juhe($T18,6),TRUE)</f>
        <v>64.756095409393311</v>
      </c>
      <c r="N17" s="119">
        <f ca="1">[1]!Olekuvorrand($C17,$T18,$Y18,$X18,$W18,N$4,[1]!juhe($T18,6),TRUE)</f>
        <v>63.642323017120361</v>
      </c>
      <c r="O17" s="190">
        <f ca="1">U18</f>
        <v>65</v>
      </c>
      <c r="P17" s="221"/>
      <c r="Q17" s="142"/>
      <c r="R17"/>
      <c r="S17"/>
      <c r="T17"/>
      <c r="U17"/>
      <c r="V17"/>
      <c r="W17"/>
      <c r="X17"/>
      <c r="Y17"/>
      <c r="Z17"/>
    </row>
    <row r="18" spans="1:29" s="114" customFormat="1" x14ac:dyDescent="0.2">
      <c r="A18" s="187"/>
      <c r="B18" s="188"/>
      <c r="C18" s="189"/>
      <c r="D18" s="118" t="s">
        <v>32</v>
      </c>
      <c r="E18" s="119">
        <f ca="1">E17*[1]!juhe($T18,2)/10</f>
        <v>3434.073480963707</v>
      </c>
      <c r="F18" s="119">
        <f ca="1">F17*[1]!juhe($T18,2)/10</f>
        <v>3363.1673008203506</v>
      </c>
      <c r="G18" s="119">
        <f ca="1">G17*[1]!juhe($T18,2)/10</f>
        <v>3295.2627271413803</v>
      </c>
      <c r="H18" s="119">
        <f ca="1">H17*[1]!juhe($T18,2)/10</f>
        <v>3230.2080541849136</v>
      </c>
      <c r="I18" s="119">
        <f ca="1">I17*[1]!juhe($T18,2)/10</f>
        <v>3167.8732484579086</v>
      </c>
      <c r="J18" s="119">
        <f ca="1">J17*[1]!juhe($T18,2)/10</f>
        <v>3108.1282764673233</v>
      </c>
      <c r="K18" s="119">
        <f ca="1">K17*[1]!juhe($T18,2)/10</f>
        <v>3050.8431047201157</v>
      </c>
      <c r="L18" s="119">
        <f ca="1">L17*[1]!juhe($T18,2)/10</f>
        <v>2995.8931177854538</v>
      </c>
      <c r="M18" s="119">
        <f ca="1">M17*[1]!juhe($T18,2)/10</f>
        <v>2943.164536356926</v>
      </c>
      <c r="N18" s="119">
        <f ca="1">N17*[1]!juhe($T18,2)/10</f>
        <v>2892.5435811281204</v>
      </c>
      <c r="O18" s="190"/>
      <c r="P18" s="221"/>
      <c r="Q18" s="141" t="s">
        <v>201</v>
      </c>
      <c r="R18" s="129" t="str">
        <f ca="1">INDIRECT("'"&amp;$S$1&amp;"'!"&amp;$Q18&amp;R$4)</f>
        <v>109Y- 117Y</v>
      </c>
      <c r="S18" s="129">
        <f ca="1">INDIRECT("'"&amp;$S$1&amp;"'!"&amp;$Q18&amp;S$4)</f>
        <v>443.42681236767572</v>
      </c>
      <c r="T18" s="129" t="str">
        <f ca="1">INDIRECT("'"&amp;$S$1&amp;"'!"&amp;$Q18&amp;T$4)</f>
        <v>402-AL1/52-ST1A</v>
      </c>
      <c r="U18" s="129">
        <f ca="1">INDIRECT("'"&amp;$S$1&amp;"'!"&amp;$Q18&amp;U$4)</f>
        <v>65</v>
      </c>
      <c r="V18" s="129">
        <f ca="1">INDIRECT("'"&amp;$S$1&amp;"'!"&amp;$Q18&amp;V$4)</f>
        <v>5</v>
      </c>
      <c r="W18" s="129">
        <f ca="1">INDIRECT("'"&amp;$S$1&amp;"'!"&amp;$Q18&amp;W$4)</f>
        <v>6.7907977822825316E-2</v>
      </c>
      <c r="X18" s="129">
        <f ca="1">INDIRECT("'"&amp;$S$1&amp;"'!"&amp;$Q18&amp;X$4)</f>
        <v>-5</v>
      </c>
      <c r="Y18" s="129">
        <f ca="1">INDIRECT("'"&amp;$S$1&amp;"'!"&amp;$Q18&amp;Y$4)</f>
        <v>118.519127368927</v>
      </c>
      <c r="Z18" s="129">
        <v>3</v>
      </c>
    </row>
    <row r="19" spans="1:29" s="114" customFormat="1" x14ac:dyDescent="0.2">
      <c r="A19" s="187"/>
      <c r="B19" s="188"/>
      <c r="C19" s="189"/>
      <c r="D19" s="118" t="str">
        <f>CONCATENATE(Z18,"T, [daN]")</f>
        <v>3T, [daN]</v>
      </c>
      <c r="E19" s="119">
        <f ca="1">E18*$Z18</f>
        <v>10302.220442891121</v>
      </c>
      <c r="F19" s="119">
        <f t="shared" ref="F19:N19" ca="1" si="3">F18*$Z18</f>
        <v>10089.501902461052</v>
      </c>
      <c r="G19" s="119">
        <f t="shared" ca="1" si="3"/>
        <v>9885.7881814241409</v>
      </c>
      <c r="H19" s="119">
        <f t="shared" ca="1" si="3"/>
        <v>9690.6241625547409</v>
      </c>
      <c r="I19" s="119">
        <f t="shared" ca="1" si="3"/>
        <v>9503.6197453737259</v>
      </c>
      <c r="J19" s="119">
        <f t="shared" ca="1" si="3"/>
        <v>9324.3848294019699</v>
      </c>
      <c r="K19" s="119">
        <f t="shared" ca="1" si="3"/>
        <v>9152.529314160347</v>
      </c>
      <c r="L19" s="119">
        <f t="shared" ca="1" si="3"/>
        <v>8987.6793533563614</v>
      </c>
      <c r="M19" s="119">
        <f t="shared" ca="1" si="3"/>
        <v>8829.4936090707779</v>
      </c>
      <c r="N19" s="119">
        <f t="shared" ca="1" si="3"/>
        <v>8677.6307433843613</v>
      </c>
      <c r="O19" s="190"/>
      <c r="P19" s="221"/>
      <c r="Q19" s="141" t="s">
        <v>201</v>
      </c>
      <c r="R19"/>
      <c r="S19"/>
      <c r="T19"/>
      <c r="U19"/>
      <c r="V19"/>
      <c r="W19"/>
      <c r="X19"/>
      <c r="Y19"/>
      <c r="Z19"/>
    </row>
    <row r="20" spans="1:29" s="114" customFormat="1" x14ac:dyDescent="0.2">
      <c r="A20" s="187"/>
      <c r="B20" s="188"/>
      <c r="C20" s="189"/>
      <c r="D20" s="118" t="s">
        <v>31</v>
      </c>
      <c r="E20" s="120">
        <f ca="1">[1]!ripe([1]!Olekuvorrand($C17,$T18,$Y18,$X18,$W18,E$4,[1]!juhe($T18,6),TRUE),[1]!juhe($T18,6),$C17,0)</f>
        <v>10.767285036261512</v>
      </c>
      <c r="F20" s="120">
        <f ca="1">[1]!ripe([1]!Olekuvorrand($C17,$T18,$Y18,$X18,$W18,F$4,[1]!juhe($T18,6),TRUE),[1]!juhe($T18,6),$C17,0)</f>
        <v>10.994293384091785</v>
      </c>
      <c r="G20" s="120">
        <f ca="1">[1]!ripe([1]!Olekuvorrand($C17,$T18,$Y18,$X18,$W18,G$4,[1]!juhe($T18,6),TRUE),[1]!juhe($T18,6),$C17,0)</f>
        <v>11.220849767289769</v>
      </c>
      <c r="H20" s="120">
        <f ca="1">[1]!ripe([1]!Olekuvorrand($C17,$T18,$Y18,$X18,$W18,H$4,[1]!juhe($T18,6),TRUE),[1]!juhe($T18,6),$C17,0)</f>
        <v>11.446831716334495</v>
      </c>
      <c r="I20" s="120">
        <f ca="1">[1]!ripe([1]!Olekuvorrand($C17,$T18,$Y18,$X18,$W18,I$4,[1]!juhe($T18,6),TRUE),[1]!juhe($T18,6),$C17,0)</f>
        <v>11.672073061320368</v>
      </c>
      <c r="J20" s="120">
        <f ca="1">[1]!ripe([1]!Olekuvorrand($C17,$T18,$Y18,$X18,$W18,J$4,[1]!juhe($T18,6),TRUE),[1]!juhe($T18,6),$C17,0)</f>
        <v>11.896435641011982</v>
      </c>
      <c r="K20" s="120">
        <f ca="1">[1]!ripe([1]!Olekuvorrand($C17,$T18,$Y18,$X18,$W18,K$4,[1]!juhe($T18,6),TRUE),[1]!juhe($T18,6),$C17,0)</f>
        <v>12.11981302735499</v>
      </c>
      <c r="L20" s="120">
        <f ca="1">[1]!ripe([1]!Olekuvorrand($C17,$T18,$Y18,$X18,$W18,L$4,[1]!juhe($T18,6),TRUE),[1]!juhe($T18,6),$C17,0)</f>
        <v>12.342111868241542</v>
      </c>
      <c r="M20" s="120">
        <f ca="1">[1]!ripe([1]!Olekuvorrand($C17,$T18,$Y18,$X18,$W18,M$4,[1]!juhe($T18,6),TRUE),[1]!juhe($T18,6),$C17,0)</f>
        <v>12.563228303495316</v>
      </c>
      <c r="N20" s="120">
        <f ca="1">[1]!ripe([1]!Olekuvorrand($C17,$T18,$Y18,$X18,$W18,N$4,[1]!juhe($T18,6),TRUE),[1]!juhe($T18,6),$C17,0)</f>
        <v>12.783091064295093</v>
      </c>
      <c r="O20" s="190"/>
      <c r="P20" s="221"/>
      <c r="Q20" s="141" t="s">
        <v>201</v>
      </c>
      <c r="R20"/>
      <c r="S20"/>
      <c r="T20"/>
      <c r="U20"/>
      <c r="V20"/>
      <c r="W20"/>
      <c r="X20"/>
      <c r="Y20"/>
      <c r="Z20"/>
    </row>
    <row r="21" spans="1:29" s="114" customFormat="1" x14ac:dyDescent="0.2">
      <c r="A21" s="187"/>
      <c r="B21" s="188"/>
      <c r="C21" s="189"/>
      <c r="D21" s="118" t="s">
        <v>195</v>
      </c>
      <c r="E21" s="120">
        <f ca="1">[1]!ripe([1]!Olekuvorrand($C17,$T18,$Y18,$X18,$W18,E$4,[1]!juhe($T18,6)),[1]!juhe($T18,6),$C17,0)</f>
        <v>11.31765093228538</v>
      </c>
      <c r="F21" s="120">
        <f ca="1">[1]!ripe([1]!Olekuvorrand($C17,$T18,$Y18,$X18,$W18,F$4,[1]!juhe($T18,6)),[1]!juhe($T18,6),$C17,0)</f>
        <v>11.561086629675485</v>
      </c>
      <c r="G21" s="120">
        <f ca="1">[1]!ripe([1]!Olekuvorrand($C17,$T18,$Y18,$X18,$W18,G$4,[1]!juhe($T18,6)),[1]!juhe($T18,6),$C17,0)</f>
        <v>11.802719259585317</v>
      </c>
      <c r="H21" s="120">
        <f ca="1">[1]!ripe([1]!Olekuvorrand($C17,$T18,$Y18,$X18,$W18,H$4,[1]!juhe($T18,6)),[1]!juhe($T18,6),$C17,0)</f>
        <v>12.042479388323441</v>
      </c>
      <c r="I21" s="120">
        <f ca="1">[1]!ripe([1]!Olekuvorrand($C17,$T18,$Y18,$X18,$W18,I$4,[1]!juhe($T18,6)),[1]!juhe($T18,6),$C17,0)</f>
        <v>12.280282436042631</v>
      </c>
      <c r="J21" s="120">
        <f ca="1">[1]!ripe([1]!Olekuvorrand($C17,$T18,$Y18,$X18,$W18,J$4,[1]!juhe($T18,6)),[1]!juhe($T18,6),$C17,0)</f>
        <v>12.516086777104761</v>
      </c>
      <c r="K21" s="120">
        <f ca="1">[1]!ripe([1]!Olekuvorrand($C17,$T18,$Y18,$X18,$W18,K$4,[1]!juhe($T18,6)),[1]!juhe($T18,6),$C17,0)</f>
        <v>12.749823625262611</v>
      </c>
      <c r="L21" s="120">
        <f ca="1">[1]!ripe([1]!Olekuvorrand($C17,$T18,$Y18,$X18,$W18,L$4,[1]!juhe($T18,6)),[1]!juhe($T18,6),$C17,0)</f>
        <v>12.981508297895425</v>
      </c>
      <c r="M21" s="120">
        <f ca="1">[1]!ripe([1]!Olekuvorrand($C17,$T18,$Y18,$X18,$W18,M$4,[1]!juhe($T18,6)),[1]!juhe($T18,6),$C17,0)</f>
        <v>13.211095820720445</v>
      </c>
      <c r="N21" s="120">
        <f ca="1">[1]!ripe([1]!Olekuvorrand($C17,$T18,$Y18,$X18,$W18,N$4,[1]!juhe($T18,6)),[1]!juhe($T18,6),$C17,0)</f>
        <v>13.438569006864993</v>
      </c>
      <c r="O21" s="190"/>
      <c r="P21" s="221"/>
      <c r="Q21" s="141" t="s">
        <v>201</v>
      </c>
      <c r="R21"/>
      <c r="S21"/>
      <c r="T21"/>
      <c r="U21"/>
      <c r="V21"/>
      <c r="W21"/>
      <c r="X21"/>
      <c r="Y21"/>
      <c r="Z21"/>
      <c r="AC21" s="121"/>
    </row>
    <row r="22" spans="1:29" x14ac:dyDescent="0.2">
      <c r="A22" s="105"/>
      <c r="B22" s="113" t="str">
        <f ca="1">INDIRECT("Visangud!C" &amp; R22)</f>
        <v>109Y-110Y</v>
      </c>
      <c r="C22" s="106">
        <f ca="1">INDIRECT("Visangud!"&amp;Q22&amp;R22)</f>
        <v>443.31831024674671</v>
      </c>
      <c r="D22" s="10" t="s">
        <v>31</v>
      </c>
      <c r="E22" s="12">
        <f ca="1">[1]!ripe(E$17,[1]!juhe($T$7,6),$C22,0)</f>
        <v>10.762016386292272</v>
      </c>
      <c r="F22" s="12">
        <f ca="1">[1]!ripe(F$17,[1]!juhe($T$7,6),$C22,0)</f>
        <v>10.988913654354452</v>
      </c>
      <c r="G22" s="12">
        <f ca="1">[1]!ripe(G$17,[1]!juhe($T$7,6),$C22,0)</f>
        <v>11.215359178939764</v>
      </c>
      <c r="H22" s="12">
        <f ca="1">[1]!ripe(H$17,[1]!juhe($T$7,6),$C22,0)</f>
        <v>11.441230550454048</v>
      </c>
      <c r="I22" s="12">
        <f ca="1">[1]!ripe(I$17,[1]!juhe($T$7,6),$C22,0)</f>
        <v>11.666361680301998</v>
      </c>
      <c r="J22" s="12">
        <f ca="1">[1]!ripe(J$17,[1]!juhe($T$7,6),$C22,0)</f>
        <v>11.890614474853287</v>
      </c>
      <c r="K22" s="12">
        <f ca="1">[1]!ripe(K$17,[1]!juhe($T$7,6),$C22,0)</f>
        <v>12.113882558130973</v>
      </c>
      <c r="L22" s="12">
        <f ca="1">[1]!ripe(L$17,[1]!juhe($T$7,6),$C22,0)</f>
        <v>12.336072623706269</v>
      </c>
      <c r="M22" s="12">
        <f ca="1">[1]!ripe(M$17,[1]!juhe($T$7,6),$C22,0)</f>
        <v>12.557080862223737</v>
      </c>
      <c r="N22" s="12">
        <f ca="1">[1]!ripe(N$17,[1]!juhe($T$7,6),$C22,0)</f>
        <v>12.77683603973543</v>
      </c>
      <c r="O22" s="107"/>
      <c r="Q22" s="141" t="s">
        <v>201</v>
      </c>
      <c r="R22">
        <v>21</v>
      </c>
      <c r="S22"/>
      <c r="T22"/>
      <c r="U22"/>
      <c r="V22"/>
      <c r="W22"/>
      <c r="X22"/>
      <c r="Y22"/>
      <c r="Z22"/>
      <c r="AC22" s="11"/>
    </row>
    <row r="23" spans="1:29" x14ac:dyDescent="0.2">
      <c r="A23" s="105"/>
      <c r="B23" s="113" t="str">
        <f t="shared" ref="B23:B27" ca="1" si="4">INDIRECT("Visangud!C" &amp; R23)</f>
        <v>110Y-111Y</v>
      </c>
      <c r="C23" s="106">
        <f t="shared" ref="C23:C27" ca="1" si="5">INDIRECT("Visangud!"&amp;Q23&amp;R23)</f>
        <v>448.46203239510157</v>
      </c>
      <c r="D23" s="10" t="s">
        <v>31</v>
      </c>
      <c r="E23" s="12">
        <f ca="1">[1]!ripe(E$17,[1]!juhe($T$7,6),$C23,0)</f>
        <v>11.013203702976563</v>
      </c>
      <c r="F23" s="12">
        <f ca="1">[1]!ripe(F$17,[1]!juhe($T$7,6),$C23,0)</f>
        <v>11.245396792368297</v>
      </c>
      <c r="G23" s="12">
        <f ca="1">[1]!ripe(G$17,[1]!juhe($T$7,6),$C23,0)</f>
        <v>11.477127594512579</v>
      </c>
      <c r="H23" s="12">
        <f ca="1">[1]!ripe(H$17,[1]!juhe($T$7,6),$C23,0)</f>
        <v>11.708270842754233</v>
      </c>
      <c r="I23" s="12">
        <f ca="1">[1]!ripe(I$17,[1]!juhe($T$7,6),$C23,0)</f>
        <v>11.938656571961523</v>
      </c>
      <c r="J23" s="12">
        <f ca="1">[1]!ripe(J$17,[1]!juhe($T$7,6),$C23,0)</f>
        <v>12.168143465374998</v>
      </c>
      <c r="K23" s="12">
        <f ca="1">[1]!ripe(K$17,[1]!juhe($T$7,6),$C23,0)</f>
        <v>12.396622664184081</v>
      </c>
      <c r="L23" s="12">
        <f ca="1">[1]!ripe(L$17,[1]!juhe($T$7,6),$C23,0)</f>
        <v>12.623998684171864</v>
      </c>
      <c r="M23" s="12">
        <f ca="1">[1]!ripe(M$17,[1]!juhe($T$7,6),$C23,0)</f>
        <v>12.850165293054671</v>
      </c>
      <c r="N23" s="12">
        <f ca="1">[1]!ripe(N$17,[1]!juhe($T$7,6),$C23,0)</f>
        <v>13.075049594271933</v>
      </c>
      <c r="O23" s="107"/>
      <c r="Q23" s="141" t="s">
        <v>201</v>
      </c>
      <c r="R23">
        <v>22</v>
      </c>
      <c r="S23"/>
      <c r="T23"/>
      <c r="U23"/>
      <c r="V23"/>
      <c r="W23"/>
      <c r="X23"/>
      <c r="Y23"/>
      <c r="Z23"/>
      <c r="AC23" s="11"/>
    </row>
    <row r="24" spans="1:29" x14ac:dyDescent="0.2">
      <c r="A24" s="105"/>
      <c r="B24" s="113" t="str">
        <f t="shared" ca="1" si="4"/>
        <v>111Y-112Y</v>
      </c>
      <c r="C24" s="106">
        <f t="shared" ca="1" si="5"/>
        <v>437.42198870199996</v>
      </c>
      <c r="D24" s="10" t="s">
        <v>31</v>
      </c>
      <c r="E24" s="12">
        <f ca="1">[1]!ripe(E$17,[1]!juhe($T$7,6),$C24,0)</f>
        <v>10.477641436218587</v>
      </c>
      <c r="F24" s="12">
        <f ca="1">[1]!ripe(F$17,[1]!juhe($T$7,6),$C24,0)</f>
        <v>10.698543182906239</v>
      </c>
      <c r="G24" s="12">
        <f ca="1">[1]!ripe(G$17,[1]!juhe($T$7,6),$C24,0)</f>
        <v>10.919005122962691</v>
      </c>
      <c r="H24" s="12">
        <f ca="1">[1]!ripe(H$17,[1]!juhe($T$7,6),$C24,0)</f>
        <v>11.138908081338405</v>
      </c>
      <c r="I24" s="12">
        <f ca="1">[1]!ripe(I$17,[1]!juhe($T$7,6),$C24,0)</f>
        <v>11.358090358154309</v>
      </c>
      <c r="J24" s="12">
        <f ca="1">[1]!ripe(J$17,[1]!juhe($T$7,6),$C24,0)</f>
        <v>11.576417508758833</v>
      </c>
      <c r="K24" s="12">
        <f ca="1">[1]!ripe(K$17,[1]!juhe($T$7,6),$C24,0)</f>
        <v>11.793785968048212</v>
      </c>
      <c r="L24" s="12">
        <f ca="1">[1]!ripe(L$17,[1]!juhe($T$7,6),$C24,0)</f>
        <v>12.010104895117777</v>
      </c>
      <c r="M24" s="12">
        <f ca="1">[1]!ripe(M$17,[1]!juhe($T$7,6),$C24,0)</f>
        <v>12.225273223664999</v>
      </c>
      <c r="N24" s="12">
        <f ca="1">[1]!ripe(N$17,[1]!juhe($T$7,6),$C24,0)</f>
        <v>12.439221602023988</v>
      </c>
      <c r="O24" s="107"/>
      <c r="Q24" s="141" t="s">
        <v>201</v>
      </c>
      <c r="R24">
        <v>23</v>
      </c>
      <c r="S24"/>
      <c r="T24"/>
      <c r="U24"/>
      <c r="V24"/>
      <c r="W24"/>
      <c r="X24"/>
      <c r="Y24"/>
      <c r="Z24"/>
      <c r="AC24" s="11"/>
    </row>
    <row r="25" spans="1:29" x14ac:dyDescent="0.2">
      <c r="A25" s="105"/>
      <c r="B25" s="113" t="str">
        <f t="shared" ca="1" si="4"/>
        <v>112Y-113Y</v>
      </c>
      <c r="C25" s="106">
        <f t="shared" ca="1" si="5"/>
        <v>443.2931465746102</v>
      </c>
      <c r="D25" s="10" t="s">
        <v>31</v>
      </c>
      <c r="E25" s="12">
        <f ca="1">[1]!ripe(E$17,[1]!juhe($T$7,6),$C25,0)</f>
        <v>10.760794671963357</v>
      </c>
      <c r="F25" s="12">
        <f ca="1">[1]!ripe(F$17,[1]!juhe($T$7,6),$C25,0)</f>
        <v>10.987666182432012</v>
      </c>
      <c r="G25" s="12">
        <f ca="1">[1]!ripe(G$17,[1]!juhe($T$7,6),$C25,0)</f>
        <v>11.214086000706146</v>
      </c>
      <c r="H25" s="12">
        <f ca="1">[1]!ripe(H$17,[1]!juhe($T$7,6),$C25,0)</f>
        <v>11.439931731087658</v>
      </c>
      <c r="I25" s="12">
        <f ca="1">[1]!ripe(I$17,[1]!juhe($T$7,6),$C25,0)</f>
        <v>11.665037303835772</v>
      </c>
      <c r="J25" s="12">
        <f ca="1">[1]!ripe(J$17,[1]!juhe($T$7,6),$C25,0)</f>
        <v>11.889264640996684</v>
      </c>
      <c r="K25" s="12">
        <f ca="1">[1]!ripe(K$17,[1]!juhe($T$7,6),$C25,0)</f>
        <v>12.112507378669351</v>
      </c>
      <c r="L25" s="12">
        <f ca="1">[1]!ripe(L$17,[1]!juhe($T$7,6),$C25,0)</f>
        <v>12.334672221017222</v>
      </c>
      <c r="M25" s="12">
        <f ca="1">[1]!ripe(M$17,[1]!juhe($T$7,6),$C25,0)</f>
        <v>12.555655370469397</v>
      </c>
      <c r="N25" s="12">
        <f ca="1">[1]!ripe(N$17,[1]!juhe($T$7,6),$C25,0)</f>
        <v>12.775385601164475</v>
      </c>
      <c r="O25" s="107"/>
      <c r="Q25" s="141" t="s">
        <v>201</v>
      </c>
      <c r="R25">
        <v>24</v>
      </c>
      <c r="S25"/>
      <c r="T25"/>
      <c r="U25"/>
      <c r="V25"/>
      <c r="W25"/>
      <c r="X25"/>
      <c r="Y25"/>
      <c r="Z25"/>
      <c r="AC25" s="11"/>
    </row>
    <row r="26" spans="1:29" x14ac:dyDescent="0.2">
      <c r="A26" s="108"/>
      <c r="B26" s="113" t="str">
        <f t="shared" ca="1" si="4"/>
        <v>113Y-114Y</v>
      </c>
      <c r="C26" s="106">
        <f t="shared" ca="1" si="5"/>
        <v>444.94337909448757</v>
      </c>
      <c r="D26" s="10" t="s">
        <v>31</v>
      </c>
      <c r="E26" s="12">
        <f ca="1">[1]!ripe(E$17,[1]!juhe($T$7,6),$C26,0)</f>
        <v>10.841061496085022</v>
      </c>
      <c r="F26" s="12">
        <f ca="1">[1]!ripe(F$17,[1]!juhe($T$7,6),$C26,0)</f>
        <v>11.069625284511218</v>
      </c>
      <c r="G26" s="12">
        <f ca="1">[1]!ripe(G$17,[1]!juhe($T$7,6),$C26,0)</f>
        <v>11.297734011484488</v>
      </c>
      <c r="H26" s="12">
        <f ca="1">[1]!ripe(H$17,[1]!juhe($T$7,6),$C26,0)</f>
        <v>11.525264368333819</v>
      </c>
      <c r="I26" s="12">
        <f ca="1">[1]!ripe(I$17,[1]!juhe($T$7,6),$C26,0)</f>
        <v>11.752049046572502</v>
      </c>
      <c r="J26" s="12">
        <f ca="1">[1]!ripe(J$17,[1]!juhe($T$7,6),$C26,0)</f>
        <v>11.977948938296885</v>
      </c>
      <c r="K26" s="12">
        <f ca="1">[1]!ripe(K$17,[1]!juhe($T$7,6),$C26,0)</f>
        <v>12.202856886217258</v>
      </c>
      <c r="L26" s="12">
        <f ca="1">[1]!ripe(L$17,[1]!juhe($T$7,6),$C26,0)</f>
        <v>12.426678898585592</v>
      </c>
      <c r="M26" s="12">
        <f ca="1">[1]!ripe(M$17,[1]!juhe($T$7,6),$C26,0)</f>
        <v>12.649310403585073</v>
      </c>
      <c r="N26" s="12">
        <f ca="1">[1]!ripe(N$17,[1]!juhe($T$7,6),$C26,0)</f>
        <v>12.870679644066978</v>
      </c>
      <c r="O26" s="117"/>
      <c r="Q26" s="141" t="s">
        <v>201</v>
      </c>
      <c r="R26">
        <v>25</v>
      </c>
      <c r="S26"/>
      <c r="T26"/>
      <c r="U26"/>
      <c r="V26"/>
      <c r="W26"/>
      <c r="X26"/>
      <c r="Y26"/>
      <c r="Z26"/>
    </row>
    <row r="27" spans="1:29" x14ac:dyDescent="0.2">
      <c r="A27" s="108"/>
      <c r="B27" s="113" t="str">
        <f t="shared" ca="1" si="4"/>
        <v>114Y-115Y</v>
      </c>
      <c r="C27" s="106">
        <f t="shared" ca="1" si="5"/>
        <v>443.31750879030767</v>
      </c>
      <c r="D27" s="10" t="s">
        <v>31</v>
      </c>
      <c r="E27" s="12">
        <f ca="1">[1]!ripe(E$17,[1]!juhe($T$7,6),$C27,0)</f>
        <v>10.761977473938176</v>
      </c>
      <c r="F27" s="12">
        <f ca="1">[1]!ripe(F$17,[1]!juhe($T$7,6),$C27,0)</f>
        <v>10.988873921605132</v>
      </c>
      <c r="G27" s="12">
        <f ca="1">[1]!ripe(G$17,[1]!juhe($T$7,6),$C27,0)</f>
        <v>11.215318627428594</v>
      </c>
      <c r="H27" s="12">
        <f ca="1">[1]!ripe(H$17,[1]!juhe($T$7,6),$C27,0)</f>
        <v>11.441189182257</v>
      </c>
      <c r="I27" s="12">
        <f ca="1">[1]!ripe(I$17,[1]!juhe($T$7,6),$C27,0)</f>
        <v>11.666319498095575</v>
      </c>
      <c r="J27" s="12">
        <f ca="1">[1]!ripe(J$17,[1]!juhe($T$7,6),$C27,0)</f>
        <v>11.890571481813298</v>
      </c>
      <c r="K27" s="12">
        <f ca="1">[1]!ripe(K$17,[1]!juhe($T$7,6),$C27,0)</f>
        <v>12.113838757817847</v>
      </c>
      <c r="L27" s="12">
        <f ca="1">[1]!ripe(L$17,[1]!juhe($T$7,6),$C27,0)</f>
        <v>12.336028020017809</v>
      </c>
      <c r="M27" s="12">
        <f ca="1">[1]!ripe(M$17,[1]!juhe($T$7,6),$C27,0)</f>
        <v>12.55703545943309</v>
      </c>
      <c r="N27" s="12">
        <f ca="1">[1]!ripe(N$17,[1]!juhe($T$7,6),$C27,0)</f>
        <v>12.776789842373304</v>
      </c>
      <c r="O27" s="117"/>
      <c r="Q27" s="141" t="s">
        <v>201</v>
      </c>
      <c r="R27">
        <v>26</v>
      </c>
      <c r="S27"/>
      <c r="T27"/>
      <c r="U27"/>
      <c r="V27"/>
      <c r="W27"/>
      <c r="X27"/>
      <c r="Y27"/>
      <c r="Z27"/>
    </row>
    <row r="28" spans="1:29" x14ac:dyDescent="0.2">
      <c r="A28" s="108"/>
      <c r="B28" s="113" t="str">
        <f ca="1">INDIRECT("Visangud!C" &amp; R28)</f>
        <v>115Y-116Y</v>
      </c>
      <c r="C28" s="106">
        <f ca="1">INDIRECT("Visangud!"&amp;Q28&amp;R28)</f>
        <v>443.02190566605429</v>
      </c>
      <c r="D28" s="10" t="s">
        <v>31</v>
      </c>
      <c r="E28" s="12">
        <f ca="1">[1]!ripe(E$17,[1]!juhe($T$7,6),$C28,0)</f>
        <v>10.747630133857399</v>
      </c>
      <c r="F28" s="12">
        <f ca="1">[1]!ripe(F$17,[1]!juhe($T$7,6),$C28,0)</f>
        <v>10.974224094318293</v>
      </c>
      <c r="G28" s="12">
        <f ca="1">[1]!ripe(G$17,[1]!juhe($T$7,6),$C28,0)</f>
        <v>11.200366915175744</v>
      </c>
      <c r="H28" s="12">
        <f ca="1">[1]!ripe(H$17,[1]!juhe($T$7,6),$C28,0)</f>
        <v>11.425936350468062</v>
      </c>
      <c r="I28" s="12">
        <f ca="1">[1]!ripe(I$17,[1]!juhe($T$7,6),$C28,0)</f>
        <v>11.65076653362083</v>
      </c>
      <c r="J28" s="12">
        <f ca="1">[1]!ripe(J$17,[1]!juhe($T$7,6),$C28,0)</f>
        <v>11.874719555602015</v>
      </c>
      <c r="K28" s="12">
        <f ca="1">[1]!ripe(K$17,[1]!juhe($T$7,6),$C28,0)</f>
        <v>12.097689182634012</v>
      </c>
      <c r="L28" s="12">
        <f ca="1">[1]!ripe(L$17,[1]!juhe($T$7,6),$C28,0)</f>
        <v>12.319582233016508</v>
      </c>
      <c r="M28" s="12">
        <f ca="1">[1]!ripe(M$17,[1]!juhe($T$7,6),$C28,0)</f>
        <v>12.540295036162448</v>
      </c>
      <c r="N28" s="12">
        <f ca="1">[1]!ripe(N$17,[1]!juhe($T$7,6),$C28,0)</f>
        <v>12.7597564533467</v>
      </c>
      <c r="O28" s="117"/>
      <c r="Q28" s="141" t="s">
        <v>201</v>
      </c>
      <c r="R28">
        <v>27</v>
      </c>
      <c r="S28"/>
      <c r="T28"/>
      <c r="U28"/>
      <c r="V28"/>
      <c r="W28"/>
      <c r="X28"/>
      <c r="Y28"/>
      <c r="Z28"/>
    </row>
    <row r="29" spans="1:29" x14ac:dyDescent="0.2">
      <c r="A29" s="108"/>
      <c r="B29" s="113" t="str">
        <f t="shared" ref="B29" ca="1" si="6">INDIRECT("Visangud!C" &amp; R29)</f>
        <v>116Y-117Y</v>
      </c>
      <c r="C29" s="106">
        <f t="shared" ref="C29" ca="1" si="7">INDIRECT("Visangud!"&amp;Q29&amp;R29)</f>
        <v>443.42023014286383</v>
      </c>
      <c r="D29" s="10" t="s">
        <v>31</v>
      </c>
      <c r="E29" s="12">
        <f ca="1">[1]!ripe(E$17,[1]!juhe($T$7,6),$C29,0)</f>
        <v>10.766965379611399</v>
      </c>
      <c r="F29" s="12">
        <f ca="1">[1]!ripe(F$17,[1]!juhe($T$7,6),$C29,0)</f>
        <v>10.993966988070719</v>
      </c>
      <c r="G29" s="12">
        <f ca="1">[1]!ripe(G$17,[1]!juhe($T$7,6),$C29,0)</f>
        <v>11.22051664531557</v>
      </c>
      <c r="H29" s="12">
        <f ca="1">[1]!ripe(H$17,[1]!juhe($T$7,6),$C29,0)</f>
        <v>11.446491885460832</v>
      </c>
      <c r="I29" s="12">
        <f ca="1">[1]!ripe(I$17,[1]!juhe($T$7,6),$C29,0)</f>
        <v>11.671726543534122</v>
      </c>
      <c r="J29" s="12">
        <f ca="1">[1]!ripe(J$17,[1]!juhe($T$7,6),$C29,0)</f>
        <v>11.896082462401729</v>
      </c>
      <c r="K29" s="12">
        <f ca="1">[1]!ripe(K$17,[1]!juhe($T$7,6),$C29,0)</f>
        <v>12.119453217168926</v>
      </c>
      <c r="L29" s="12">
        <f ca="1">[1]!ripe(L$17,[1]!juhe($T$7,6),$C29,0)</f>
        <v>12.341745458499268</v>
      </c>
      <c r="M29" s="12">
        <f ca="1">[1]!ripe(M$17,[1]!juhe($T$7,6),$C29,0)</f>
        <v>12.56285532929982</v>
      </c>
      <c r="N29" s="12">
        <f ca="1">[1]!ripe(N$17,[1]!juhe($T$7,6),$C29,0)</f>
        <v>12.782711562865165</v>
      </c>
      <c r="O29" s="117"/>
      <c r="Q29" s="141" t="s">
        <v>201</v>
      </c>
      <c r="R29">
        <v>28</v>
      </c>
      <c r="S29"/>
      <c r="T29"/>
      <c r="U29"/>
      <c r="V29"/>
      <c r="W29"/>
      <c r="X29"/>
      <c r="Y29"/>
      <c r="Z29"/>
    </row>
    <row r="30" spans="1:29" s="114" customFormat="1" hidden="1" x14ac:dyDescent="0.2">
      <c r="A30" s="187">
        <v>3</v>
      </c>
      <c r="B30" s="188" t="str">
        <f ca="1">R31</f>
        <v>117Y- 118Y</v>
      </c>
      <c r="C30" s="189">
        <f ca="1">S31</f>
        <v>440.31887592980098</v>
      </c>
      <c r="D30" s="118" t="s">
        <v>130</v>
      </c>
      <c r="E30" s="119">
        <f ca="1">[1]!Olekuvorrand($C30,$T31,$Y31,$X31,$W31,E$4,[1]!juhe($T31,6),TRUE)</f>
        <v>75.67518949508667</v>
      </c>
      <c r="F30" s="119">
        <f ca="1">[1]!Olekuvorrand($C30,$T31,$Y31,$X31,$W31,F$4,[1]!juhe($T31,6),TRUE)</f>
        <v>74.095308780670166</v>
      </c>
      <c r="G30" s="119">
        <f ca="1">[1]!Olekuvorrand($C30,$T31,$Y31,$X31,$W31,G$4,[1]!juhe($T31,6),TRUE)</f>
        <v>72.582423686981201</v>
      </c>
      <c r="H30" s="119">
        <f ca="1">[1]!Olekuvorrand($C30,$T31,$Y31,$X31,$W31,H$4,[1]!juhe($T31,6),TRUE)</f>
        <v>71.133673191070557</v>
      </c>
      <c r="I30" s="119">
        <f ca="1">[1]!Olekuvorrand($C30,$T31,$Y31,$X31,$W31,I$4,[1]!juhe($T31,6),TRUE)</f>
        <v>69.745719432830811</v>
      </c>
      <c r="J30" s="119">
        <f ca="1">[1]!Olekuvorrand($C30,$T31,$Y31,$X31,$W31,J$4,[1]!juhe($T31,6),TRUE)</f>
        <v>68.415939807891846</v>
      </c>
      <c r="K30" s="119">
        <f ca="1">[1]!Olekuvorrand($C30,$T31,$Y31,$X31,$W31,K$4,[1]!juhe($T31,6),TRUE)</f>
        <v>67.141234874725342</v>
      </c>
      <c r="L30" s="119">
        <f ca="1">[1]!Olekuvorrand($C30,$T31,$Y31,$X31,$W31,L$4,[1]!juhe($T31,6),TRUE)</f>
        <v>65.918862819671631</v>
      </c>
      <c r="M30" s="119">
        <f ca="1">[1]!Olekuvorrand($C30,$T31,$Y31,$X31,$W31,M$4,[1]!juhe($T31,6),TRUE)</f>
        <v>64.746201038360596</v>
      </c>
      <c r="N30" s="119">
        <f ca="1">[1]!Olekuvorrand($C30,$T31,$Y31,$X31,$W31,N$4,[1]!juhe($T31,6),TRUE)</f>
        <v>63.620865345001221</v>
      </c>
      <c r="O30" s="190">
        <f ca="1">U31</f>
        <v>65</v>
      </c>
      <c r="P30" s="221"/>
      <c r="Q30" s="142"/>
      <c r="R30"/>
      <c r="S30"/>
      <c r="T30"/>
      <c r="U30"/>
      <c r="V30"/>
      <c r="W30"/>
      <c r="X30"/>
      <c r="Y30"/>
      <c r="Z30"/>
    </row>
    <row r="31" spans="1:29" s="114" customFormat="1" x14ac:dyDescent="0.2">
      <c r="A31" s="187"/>
      <c r="B31" s="188"/>
      <c r="C31" s="189"/>
      <c r="D31" s="118" t="s">
        <v>32</v>
      </c>
      <c r="E31" s="119">
        <f ca="1">E30*[1]!juhe($T31,2)/10</f>
        <v>3439.4373625516891</v>
      </c>
      <c r="F31" s="119">
        <f ca="1">F30*[1]!juhe($T31,2)/10</f>
        <v>3367.631784081459</v>
      </c>
      <c r="G31" s="119">
        <f ca="1">G30*[1]!juhe($T31,2)/10</f>
        <v>3298.8711565732956</v>
      </c>
      <c r="H31" s="119">
        <f ca="1">H30*[1]!juhe($T31,2)/10</f>
        <v>3233.0254465341568</v>
      </c>
      <c r="I31" s="119">
        <f ca="1">I30*[1]!juhe($T31,2)/10</f>
        <v>3169.9429482221603</v>
      </c>
      <c r="J31" s="119">
        <f ca="1">J30*[1]!juhe($T31,2)/10</f>
        <v>3109.5044642686844</v>
      </c>
      <c r="K31" s="119">
        <f ca="1">K30*[1]!juhe($T31,2)/10</f>
        <v>3051.5691250562668</v>
      </c>
      <c r="L31" s="119">
        <f ca="1">L30*[1]!juhe($T31,2)/10</f>
        <v>2996.0123151540756</v>
      </c>
      <c r="M31" s="119">
        <f ca="1">M30*[1]!juhe($T31,2)/10</f>
        <v>2942.7148371934891</v>
      </c>
      <c r="N31" s="119">
        <f ca="1">N30*[1]!juhe($T31,2)/10</f>
        <v>2891.5683299303055</v>
      </c>
      <c r="O31" s="190"/>
      <c r="P31" s="221"/>
      <c r="Q31" s="142" t="s">
        <v>202</v>
      </c>
      <c r="R31" s="129" t="str">
        <f ca="1">INDIRECT("'"&amp;$S$1&amp;"'!"&amp;$Q31&amp;R$4)</f>
        <v>117Y- 118Y</v>
      </c>
      <c r="S31" s="129">
        <f ca="1">INDIRECT("'"&amp;$S$1&amp;"'!"&amp;$Q31&amp;S$4)</f>
        <v>440.31887592980098</v>
      </c>
      <c r="T31" s="129" t="str">
        <f ca="1">INDIRECT("'"&amp;$S$1&amp;"'!"&amp;$Q31&amp;T$4)</f>
        <v>402-AL1/52-ST1A</v>
      </c>
      <c r="U31" s="129">
        <f ca="1">INDIRECT("'"&amp;$S$1&amp;"'!"&amp;$Q31&amp;U$4)</f>
        <v>65</v>
      </c>
      <c r="V31" s="129">
        <f ca="1">INDIRECT("'"&amp;$S$1&amp;"'!"&amp;$Q31&amp;V$4)</f>
        <v>5</v>
      </c>
      <c r="W31" s="129">
        <f ca="1">INDIRECT("'"&amp;$S$1&amp;"'!"&amp;$Q31&amp;W$4)</f>
        <v>6.7917615949678378E-2</v>
      </c>
      <c r="X31" s="129">
        <f ca="1">INDIRECT("'"&amp;$S$1&amp;"'!"&amp;$Q31&amp;X$4)</f>
        <v>-5</v>
      </c>
      <c r="Y31" s="129">
        <f ca="1">INDIRECT("'"&amp;$S$1&amp;"'!"&amp;$Q31&amp;Y$4)</f>
        <v>118.39812994003296</v>
      </c>
      <c r="Z31" s="129">
        <v>3</v>
      </c>
    </row>
    <row r="32" spans="1:29" s="114" customFormat="1" x14ac:dyDescent="0.2">
      <c r="A32" s="187"/>
      <c r="B32" s="188"/>
      <c r="C32" s="189"/>
      <c r="D32" s="118" t="str">
        <f>CONCATENATE(Z31,"T, [daN]")</f>
        <v>3T, [daN]</v>
      </c>
      <c r="E32" s="119">
        <f ca="1">E31*$Z31</f>
        <v>10318.312087655067</v>
      </c>
      <c r="F32" s="119">
        <f t="shared" ref="F32:N32" ca="1" si="8">F31*$Z31</f>
        <v>10102.895352244377</v>
      </c>
      <c r="G32" s="119">
        <f t="shared" ca="1" si="8"/>
        <v>9896.6134697198868</v>
      </c>
      <c r="H32" s="119">
        <f t="shared" ca="1" si="8"/>
        <v>9699.0763396024704</v>
      </c>
      <c r="I32" s="119">
        <f t="shared" ca="1" si="8"/>
        <v>9509.828844666481</v>
      </c>
      <c r="J32" s="119">
        <f t="shared" ca="1" si="8"/>
        <v>9328.5133928060532</v>
      </c>
      <c r="K32" s="119">
        <f t="shared" ca="1" si="8"/>
        <v>9154.7073751688004</v>
      </c>
      <c r="L32" s="119">
        <f t="shared" ca="1" si="8"/>
        <v>8988.0369454622269</v>
      </c>
      <c r="M32" s="119">
        <f t="shared" ca="1" si="8"/>
        <v>8828.1445115804672</v>
      </c>
      <c r="N32" s="119">
        <f t="shared" ca="1" si="8"/>
        <v>8674.7049897909164</v>
      </c>
      <c r="O32" s="190"/>
      <c r="P32" s="221"/>
      <c r="Q32" s="142" t="s">
        <v>202</v>
      </c>
      <c r="R32"/>
      <c r="S32"/>
      <c r="T32"/>
      <c r="U32"/>
      <c r="V32"/>
      <c r="W32"/>
      <c r="X32"/>
      <c r="Y32"/>
      <c r="Z32"/>
    </row>
    <row r="33" spans="1:29" s="114" customFormat="1" x14ac:dyDescent="0.2">
      <c r="A33" s="187"/>
      <c r="B33" s="188"/>
      <c r="C33" s="189"/>
      <c r="D33" s="118" t="s">
        <v>31</v>
      </c>
      <c r="E33" s="120">
        <f ca="1">[1]!ripe([1]!Olekuvorrand($C30,$T31,$Y31,$X31,$W31,E$4,[1]!juhe($T31,6),TRUE),[1]!juhe($T31,6),$C30,0)</f>
        <v>10.600322950247493</v>
      </c>
      <c r="F33" s="120">
        <f ca="1">[1]!ripe([1]!Olekuvorrand($C30,$T31,$Y31,$X31,$W31,F$4,[1]!juhe($T31,6),TRUE),[1]!juhe($T31,6),$C30,0)</f>
        <v>10.82634597479897</v>
      </c>
      <c r="G33" s="120">
        <f ca="1">[1]!ripe([1]!Olekuvorrand($C30,$T31,$Y31,$X31,$W31,G$4,[1]!juhe($T31,6),TRUE),[1]!juhe($T31,6),$C30,0)</f>
        <v>11.052006907740932</v>
      </c>
      <c r="H33" s="120">
        <f ca="1">[1]!ripe([1]!Olekuvorrand($C30,$T31,$Y31,$X31,$W31,H$4,[1]!juhe($T31,6),TRUE),[1]!juhe($T31,6),$C30,0)</f>
        <v>11.277098622678654</v>
      </c>
      <c r="I33" s="120">
        <f ca="1">[1]!ripe([1]!Olekuvorrand($C30,$T31,$Y31,$X31,$W31,I$4,[1]!juhe($T31,6),TRUE),[1]!juhe($T31,6),$C30,0)</f>
        <v>11.501515139458025</v>
      </c>
      <c r="J33" s="120">
        <f ca="1">[1]!ripe([1]!Olekuvorrand($C30,$T31,$Y31,$X31,$W31,J$4,[1]!juhe($T31,6),TRUE),[1]!juhe($T31,6),$C30,0)</f>
        <v>11.725066559365787</v>
      </c>
      <c r="K33" s="120">
        <f ca="1">[1]!ripe([1]!Olekuvorrand($C30,$T31,$Y31,$X31,$W31,K$4,[1]!juhe($T31,6),TRUE),[1]!juhe($T31,6),$C30,0)</f>
        <v>11.947671940586673</v>
      </c>
      <c r="L33" s="120">
        <f ca="1">[1]!ripe([1]!Olekuvorrand($C30,$T31,$Y31,$X31,$W31,L$4,[1]!juhe($T31,6),TRUE),[1]!juhe($T31,6),$C30,0)</f>
        <v>12.16922461425877</v>
      </c>
      <c r="M33" s="120">
        <f ca="1">[1]!ripe([1]!Olekuvorrand($C30,$T31,$Y31,$X31,$W31,M$4,[1]!juhe($T31,6),TRUE),[1]!juhe($T31,6),$C30,0)</f>
        <v>12.389629586048171</v>
      </c>
      <c r="N33" s="120">
        <f ca="1">[1]!ripe([1]!Olekuvorrand($C30,$T31,$Y31,$X31,$W31,N$4,[1]!juhe($T31,6),TRUE),[1]!juhe($T31,6),$C30,0)</f>
        <v>12.608779267918647</v>
      </c>
      <c r="O33" s="190"/>
      <c r="P33" s="221"/>
      <c r="Q33" s="142" t="s">
        <v>202</v>
      </c>
      <c r="R33"/>
      <c r="S33"/>
      <c r="T33"/>
      <c r="U33"/>
      <c r="V33"/>
      <c r="W33"/>
      <c r="X33"/>
      <c r="Y33"/>
      <c r="Z33"/>
    </row>
    <row r="34" spans="1:29" s="114" customFormat="1" x14ac:dyDescent="0.2">
      <c r="A34" s="187"/>
      <c r="B34" s="188"/>
      <c r="C34" s="189"/>
      <c r="D34" s="118" t="s">
        <v>195</v>
      </c>
      <c r="E34" s="120">
        <f ca="1">[1]!ripe([1]!Olekuvorrand($C30,$T31,$Y31,$X31,$W31,E$4,[1]!juhe($T31,6)),[1]!juhe($T31,6),$C30,0)</f>
        <v>11.145972283892513</v>
      </c>
      <c r="F34" s="120">
        <f ca="1">[1]!ripe([1]!Olekuvorrand($C30,$T31,$Y31,$X31,$W31,F$4,[1]!juhe($T31,6)),[1]!juhe($T31,6),$C30,0)</f>
        <v>11.388731427622686</v>
      </c>
      <c r="G34" s="120">
        <f ca="1">[1]!ripe([1]!Olekuvorrand($C30,$T31,$Y31,$X31,$W31,G$4,[1]!juhe($T31,6)),[1]!juhe($T31,6),$C30,0)</f>
        <v>11.629725081655797</v>
      </c>
      <c r="H34" s="120">
        <f ca="1">[1]!ripe([1]!Olekuvorrand($C30,$T31,$Y31,$X31,$W31,H$4,[1]!juhe($T31,6)),[1]!juhe($T31,6),$C30,0)</f>
        <v>11.86885831204612</v>
      </c>
      <c r="I34" s="120">
        <f ca="1">[1]!ripe([1]!Olekuvorrand($C30,$T31,$Y31,$X31,$W31,I$4,[1]!juhe($T31,6)),[1]!juhe($T31,6),$C30,0)</f>
        <v>12.106041811169915</v>
      </c>
      <c r="J34" s="120">
        <f ca="1">[1]!ripe([1]!Olekuvorrand($C30,$T31,$Y31,$X31,$W31,J$4,[1]!juhe($T31,6)),[1]!juhe($T31,6),$C30,0)</f>
        <v>12.34125349835287</v>
      </c>
      <c r="K34" s="120">
        <f ca="1">[1]!ripe([1]!Olekuvorrand($C30,$T31,$Y31,$X31,$W31,K$4,[1]!juhe($T31,6)),[1]!juhe($T31,6),$C30,0)</f>
        <v>12.574403436581996</v>
      </c>
      <c r="L34" s="120">
        <f ca="1">[1]!ripe([1]!Olekuvorrand($C30,$T31,$Y31,$X31,$W31,L$4,[1]!juhe($T31,6)),[1]!juhe($T31,6),$C30,0)</f>
        <v>12.805508199248012</v>
      </c>
      <c r="M34" s="120">
        <f ca="1">[1]!ripe([1]!Olekuvorrand($C30,$T31,$Y31,$X31,$W31,M$4,[1]!juhe($T31,6)),[1]!juhe($T31,6),$C30,0)</f>
        <v>13.034502438957805</v>
      </c>
      <c r="N34" s="120">
        <f ca="1">[1]!ripe([1]!Olekuvorrand($C30,$T31,$Y31,$X31,$W31,N$4,[1]!juhe($T31,6)),[1]!juhe($T31,6),$C30,0)</f>
        <v>13.261399851771905</v>
      </c>
      <c r="O34" s="190"/>
      <c r="P34" s="221"/>
      <c r="Q34" s="142" t="s">
        <v>202</v>
      </c>
      <c r="R34"/>
      <c r="S34"/>
      <c r="T34"/>
      <c r="U34"/>
      <c r="V34"/>
      <c r="W34"/>
      <c r="X34"/>
      <c r="Y34"/>
      <c r="Z34"/>
      <c r="AC34" s="121"/>
    </row>
    <row r="35" spans="1:29" x14ac:dyDescent="0.2">
      <c r="A35" s="105"/>
      <c r="B35" s="113" t="str">
        <f ca="1">INDIRECT("Visangud!C" &amp; R35)</f>
        <v>117Y-118Y</v>
      </c>
      <c r="C35" s="106">
        <f ca="1">INDIRECT("Visangud!"&amp;Q35&amp;R35)</f>
        <v>440.31887592980098</v>
      </c>
      <c r="D35" s="10" t="s">
        <v>31</v>
      </c>
      <c r="E35" s="12">
        <f ca="1">[1]!ripe(E$30,[1]!juhe($T$7,6),$C35,0)</f>
        <v>10.600322950247493</v>
      </c>
      <c r="F35" s="12">
        <f ca="1">[1]!ripe(F$30,[1]!juhe($T$7,6),$C35,0)</f>
        <v>10.82634597479897</v>
      </c>
      <c r="G35" s="12">
        <f ca="1">[1]!ripe(G$30,[1]!juhe($T$7,6),$C35,0)</f>
        <v>11.052006907740932</v>
      </c>
      <c r="H35" s="12">
        <f ca="1">[1]!ripe(H$30,[1]!juhe($T$7,6),$C35,0)</f>
        <v>11.277098622678654</v>
      </c>
      <c r="I35" s="12">
        <f ca="1">[1]!ripe(I$30,[1]!juhe($T$7,6),$C35,0)</f>
        <v>11.501515139458025</v>
      </c>
      <c r="J35" s="12">
        <f ca="1">[1]!ripe(J$30,[1]!juhe($T$7,6),$C35,0)</f>
        <v>11.725066559365787</v>
      </c>
      <c r="K35" s="12">
        <f ca="1">[1]!ripe(K$30,[1]!juhe($T$7,6),$C35,0)</f>
        <v>11.947671940586673</v>
      </c>
      <c r="L35" s="12">
        <f ca="1">[1]!ripe(L$30,[1]!juhe($T$7,6),$C35,0)</f>
        <v>12.16922461425877</v>
      </c>
      <c r="M35" s="12">
        <f ca="1">[1]!ripe(M$30,[1]!juhe($T$7,6),$C35,0)</f>
        <v>12.389629586048171</v>
      </c>
      <c r="N35" s="12">
        <f ca="1">[1]!ripe(N$30,[1]!juhe($T$7,6),$C35,0)</f>
        <v>12.608779267918647</v>
      </c>
      <c r="O35" s="107"/>
      <c r="Q35" s="142" t="s">
        <v>202</v>
      </c>
      <c r="R35">
        <v>29</v>
      </c>
      <c r="S35"/>
      <c r="T35"/>
      <c r="U35"/>
      <c r="V35"/>
      <c r="W35"/>
      <c r="X35"/>
      <c r="Y35"/>
      <c r="Z35"/>
      <c r="AC35" s="11"/>
    </row>
    <row r="36" spans="1:29" s="114" customFormat="1" hidden="1" x14ac:dyDescent="0.2">
      <c r="A36" s="187">
        <v>4</v>
      </c>
      <c r="B36" s="188" t="str">
        <f ca="1">R37</f>
        <v>118Y- 121Y</v>
      </c>
      <c r="C36" s="189">
        <f ca="1">S37</f>
        <v>352.77649774332502</v>
      </c>
      <c r="D36" s="118" t="s">
        <v>130</v>
      </c>
      <c r="E36" s="119">
        <f ca="1">[1]!Olekuvorrand($C36,$T37,$Y37,$X37,$W37,E$4,[1]!juhe($T37,6),TRUE)</f>
        <v>79.716026782989502</v>
      </c>
      <c r="F36" s="119">
        <f ca="1">[1]!Olekuvorrand($C36,$T37,$Y37,$X37,$W37,F$4,[1]!juhe($T37,6),TRUE)</f>
        <v>77.442348003387451</v>
      </c>
      <c r="G36" s="119">
        <f ca="1">[1]!Olekuvorrand($C36,$T37,$Y37,$X37,$W37,G$4,[1]!juhe($T37,6),TRUE)</f>
        <v>75.2754807472229</v>
      </c>
      <c r="H36" s="119">
        <f ca="1">[1]!Olekuvorrand($C36,$T37,$Y37,$X37,$W37,H$4,[1]!juhe($T37,6),TRUE)</f>
        <v>73.212087154388428</v>
      </c>
      <c r="I36" s="119">
        <f ca="1">[1]!Olekuvorrand($C36,$T37,$Y37,$X37,$W37,I$4,[1]!juhe($T37,6),TRUE)</f>
        <v>71.248471736907959</v>
      </c>
      <c r="J36" s="119">
        <f ca="1">[1]!Olekuvorrand($C36,$T37,$Y37,$X37,$W37,J$4,[1]!juhe($T37,6),TRUE)</f>
        <v>69.380581378936768</v>
      </c>
      <c r="K36" s="119">
        <f ca="1">[1]!Olekuvorrand($C36,$T37,$Y37,$X37,$W37,K$4,[1]!juhe($T37,6),TRUE)</f>
        <v>67.604243755340576</v>
      </c>
      <c r="L36" s="119">
        <f ca="1">[1]!Olekuvorrand($C36,$T37,$Y37,$X37,$W37,L$4,[1]!juhe($T37,6),TRUE)</f>
        <v>65.915405750274658</v>
      </c>
      <c r="M36" s="119">
        <f ca="1">[1]!Olekuvorrand($C36,$T37,$Y37,$X37,$W37,M$4,[1]!juhe($T37,6),TRUE)</f>
        <v>64.309656620025635</v>
      </c>
      <c r="N36" s="119">
        <f ca="1">[1]!Olekuvorrand($C36,$T37,$Y37,$X37,$W37,N$4,[1]!juhe($T37,6),TRUE)</f>
        <v>62.782704830169678</v>
      </c>
      <c r="O36" s="190">
        <f ca="1">U37</f>
        <v>65</v>
      </c>
      <c r="P36" s="221"/>
      <c r="Q36" s="142"/>
      <c r="R36"/>
      <c r="S36"/>
      <c r="T36"/>
      <c r="U36"/>
      <c r="V36"/>
      <c r="W36"/>
      <c r="X36"/>
      <c r="Y36"/>
      <c r="Z36"/>
    </row>
    <row r="37" spans="1:29" s="114" customFormat="1" x14ac:dyDescent="0.2">
      <c r="A37" s="187"/>
      <c r="B37" s="188"/>
      <c r="C37" s="189"/>
      <c r="D37" s="118" t="s">
        <v>32</v>
      </c>
      <c r="E37" s="119">
        <f ca="1">E36*[1]!juhe($T37,2)/10</f>
        <v>3623.0934172868729</v>
      </c>
      <c r="F37" s="119">
        <f ca="1">F36*[1]!juhe($T37,2)/10</f>
        <v>3519.7547167539597</v>
      </c>
      <c r="G37" s="119">
        <f ca="1">G36*[1]!juhe($T37,2)/10</f>
        <v>3421.2705999612808</v>
      </c>
      <c r="H37" s="119">
        <f ca="1">H36*[1]!juhe($T37,2)/10</f>
        <v>3327.489361166954</v>
      </c>
      <c r="I37" s="119">
        <f ca="1">I36*[1]!juhe($T37,2)/10</f>
        <v>3238.2430404424667</v>
      </c>
      <c r="J37" s="119">
        <f ca="1">J36*[1]!juhe($T37,2)/10</f>
        <v>3153.3474236726761</v>
      </c>
      <c r="K37" s="119">
        <f ca="1">K36*[1]!juhe($T37,2)/10</f>
        <v>3072.6128786802292</v>
      </c>
      <c r="L37" s="119">
        <f ca="1">L36*[1]!juhe($T37,2)/10</f>
        <v>2995.8551913499832</v>
      </c>
      <c r="M37" s="119">
        <f ca="1">M36*[1]!juhe($T37,2)/10</f>
        <v>2922.8738933801651</v>
      </c>
      <c r="N37" s="119">
        <f ca="1">N36*[1]!juhe($T37,2)/10</f>
        <v>2853.4739345312119</v>
      </c>
      <c r="O37" s="190"/>
      <c r="P37" s="221"/>
      <c r="Q37" s="142" t="s">
        <v>203</v>
      </c>
      <c r="R37" s="129" t="str">
        <f ca="1">INDIRECT("'"&amp;$S$1&amp;"'!"&amp;$Q37&amp;R$4)</f>
        <v>118Y- 121Y</v>
      </c>
      <c r="S37" s="129">
        <f ca="1">INDIRECT("'"&amp;$S$1&amp;"'!"&amp;$Q37&amp;S$4)</f>
        <v>352.77649774332502</v>
      </c>
      <c r="T37" s="129" t="str">
        <f ca="1">INDIRECT("'"&amp;$S$1&amp;"'!"&amp;$Q37&amp;T$4)</f>
        <v>402-AL1/52-ST1A</v>
      </c>
      <c r="U37" s="129">
        <f ca="1">INDIRECT("'"&amp;$S$1&amp;"'!"&amp;$Q37&amp;U$4)</f>
        <v>65</v>
      </c>
      <c r="V37" s="129">
        <f ca="1">INDIRECT("'"&amp;$S$1&amp;"'!"&amp;$Q37&amp;V$4)</f>
        <v>5</v>
      </c>
      <c r="W37" s="129">
        <f ca="1">INDIRECT("'"&amp;$S$1&amp;"'!"&amp;$Q37&amp;W$4)</f>
        <v>6.8224207003285992E-2</v>
      </c>
      <c r="X37" s="129">
        <f ca="1">INDIRECT("'"&amp;$S$1&amp;"'!"&amp;$Q37&amp;X$4)</f>
        <v>-5</v>
      </c>
      <c r="Y37" s="129">
        <f ca="1">INDIRECT("'"&amp;$S$1&amp;"'!"&amp;$Q37&amp;Y$4)</f>
        <v>114.2459511756897</v>
      </c>
      <c r="Z37" s="129">
        <v>3</v>
      </c>
    </row>
    <row r="38" spans="1:29" s="114" customFormat="1" x14ac:dyDescent="0.2">
      <c r="A38" s="187"/>
      <c r="B38" s="188"/>
      <c r="C38" s="189"/>
      <c r="D38" s="118" t="str">
        <f>CONCATENATE(Z37,"T, [daN]")</f>
        <v>3T, [daN]</v>
      </c>
      <c r="E38" s="119">
        <f ca="1">E37*$Z37</f>
        <v>10869.280251860619</v>
      </c>
      <c r="F38" s="119">
        <f t="shared" ref="F38:N38" ca="1" si="9">F37*$Z37</f>
        <v>10559.264150261879</v>
      </c>
      <c r="G38" s="119">
        <f t="shared" ca="1" si="9"/>
        <v>10263.811799883842</v>
      </c>
      <c r="H38" s="119">
        <f t="shared" ca="1" si="9"/>
        <v>9982.4680835008621</v>
      </c>
      <c r="I38" s="119">
        <f t="shared" ca="1" si="9"/>
        <v>9714.7291213274002</v>
      </c>
      <c r="J38" s="119">
        <f t="shared" ca="1" si="9"/>
        <v>9460.0422710180283</v>
      </c>
      <c r="K38" s="119">
        <f t="shared" ca="1" si="9"/>
        <v>9217.8386360406876</v>
      </c>
      <c r="L38" s="119">
        <f t="shared" ca="1" si="9"/>
        <v>8987.5655740499496</v>
      </c>
      <c r="M38" s="119">
        <f t="shared" ca="1" si="9"/>
        <v>8768.6216801404953</v>
      </c>
      <c r="N38" s="119">
        <f t="shared" ca="1" si="9"/>
        <v>8560.4218035936356</v>
      </c>
      <c r="O38" s="190"/>
      <c r="P38" s="221"/>
      <c r="Q38" s="142" t="s">
        <v>203</v>
      </c>
      <c r="R38"/>
      <c r="S38"/>
      <c r="T38"/>
      <c r="U38"/>
      <c r="V38"/>
      <c r="W38"/>
      <c r="X38"/>
      <c r="Y38"/>
      <c r="Z38"/>
    </row>
    <row r="39" spans="1:29" s="114" customFormat="1" x14ac:dyDescent="0.2">
      <c r="A39" s="187"/>
      <c r="B39" s="188"/>
      <c r="C39" s="189"/>
      <c r="D39" s="118" t="s">
        <v>31</v>
      </c>
      <c r="E39" s="120">
        <f ca="1">[1]!ripe([1]!Olekuvorrand($C36,$T37,$Y37,$X37,$W37,E$4,[1]!juhe($T37,6),TRUE),[1]!juhe($T37,6),$C36,0)</f>
        <v>6.4593921461859489</v>
      </c>
      <c r="F39" s="120">
        <f ca="1">[1]!ripe([1]!Olekuvorrand($C36,$T37,$Y37,$X37,$W37,F$4,[1]!juhe($T37,6),TRUE),[1]!juhe($T37,6),$C36,0)</f>
        <v>6.6490375176210801</v>
      </c>
      <c r="G39" s="120">
        <f ca="1">[1]!ripe([1]!Olekuvorrand($C36,$T37,$Y37,$X37,$W37,G$4,[1]!juhe($T37,6),TRUE),[1]!juhe($T37,6),$C36,0)</f>
        <v>6.8404355869382831</v>
      </c>
      <c r="H39" s="120">
        <f ca="1">[1]!ripe([1]!Olekuvorrand($C36,$T37,$Y37,$X37,$W37,H$4,[1]!juhe($T37,6),TRUE),[1]!juhe($T37,6),$C36,0)</f>
        <v>7.0332249405940654</v>
      </c>
      <c r="I39" s="120">
        <f ca="1">[1]!ripe([1]!Olekuvorrand($C36,$T37,$Y37,$X37,$W37,I$4,[1]!juhe($T37,6),TRUE),[1]!juhe($T37,6),$C36,0)</f>
        <v>7.2270613639064916</v>
      </c>
      <c r="J39" s="120">
        <f ca="1">[1]!ripe([1]!Olekuvorrand($C36,$T37,$Y37,$X37,$W37,J$4,[1]!juhe($T37,6),TRUE),[1]!juhe($T37,6),$C36,0)</f>
        <v>7.4216310542983521</v>
      </c>
      <c r="K39" s="120">
        <f ca="1">[1]!ripe([1]!Olekuvorrand($C36,$T37,$Y37,$X37,$W37,K$4,[1]!juhe($T37,6),TRUE),[1]!juhe($T37,6),$C36,0)</f>
        <v>7.6166383754054472</v>
      </c>
      <c r="L39" s="120">
        <f ca="1">[1]!ripe([1]!Olekuvorrand($C36,$T37,$Y37,$X37,$W37,L$4,[1]!juhe($T37,6),TRUE),[1]!juhe($T37,6),$C36,0)</f>
        <v>7.8117865082708002</v>
      </c>
      <c r="M39" s="120">
        <f ca="1">[1]!ripe([1]!Olekuvorrand($C36,$T37,$Y37,$X37,$W37,M$4,[1]!juhe($T37,6),TRUE),[1]!juhe($T37,6),$C36,0)</f>
        <v>8.0068391652218693</v>
      </c>
      <c r="N39" s="120">
        <f ca="1">[1]!ripe([1]!Olekuvorrand($C36,$T37,$Y37,$X37,$W37,N$4,[1]!juhe($T37,6),TRUE),[1]!juhe($T37,6),$C36,0)</f>
        <v>8.2015752382772824</v>
      </c>
      <c r="O39" s="190"/>
      <c r="P39" s="221"/>
      <c r="Q39" s="142" t="s">
        <v>203</v>
      </c>
      <c r="R39"/>
      <c r="S39"/>
      <c r="T39"/>
      <c r="U39"/>
      <c r="V39"/>
      <c r="W39"/>
      <c r="X39"/>
      <c r="Y39"/>
      <c r="Z39"/>
    </row>
    <row r="40" spans="1:29" s="114" customFormat="1" x14ac:dyDescent="0.2">
      <c r="A40" s="187"/>
      <c r="B40" s="188"/>
      <c r="C40" s="189"/>
      <c r="D40" s="118" t="s">
        <v>195</v>
      </c>
      <c r="E40" s="120">
        <f ca="1">[1]!ripe([1]!Olekuvorrand($C36,$T37,$Y37,$X37,$W37,E$4,[1]!juhe($T37,6)),[1]!juhe($T37,6),$C36,0)</f>
        <v>6.8466809708074576</v>
      </c>
      <c r="F40" s="120">
        <f ca="1">[1]!ripe([1]!Olekuvorrand($C36,$T37,$Y37,$X37,$W37,F$4,[1]!juhe($T37,6)),[1]!juhe($T37,6),$C36,0)</f>
        <v>7.0626763576427765</v>
      </c>
      <c r="G40" s="120">
        <f ca="1">[1]!ripe([1]!Olekuvorrand($C36,$T37,$Y37,$X37,$W37,G$4,[1]!juhe($T37,6)),[1]!juhe($T37,6),$C36,0)</f>
        <v>7.2785258294151296</v>
      </c>
      <c r="H40" s="120">
        <f ca="1">[1]!ripe([1]!Olekuvorrand($C36,$T37,$Y37,$X37,$W37,H$4,[1]!juhe($T37,6)),[1]!juhe($T37,6),$C36,0)</f>
        <v>7.4938779261869568</v>
      </c>
      <c r="I40" s="120">
        <f ca="1">[1]!ripe([1]!Olekuvorrand($C36,$T37,$Y37,$X37,$W37,I$4,[1]!juhe($T37,6)),[1]!juhe($T37,6),$C36,0)</f>
        <v>7.7083878255919576</v>
      </c>
      <c r="J40" s="120">
        <f ca="1">[1]!ripe([1]!Olekuvorrand($C36,$T37,$Y37,$X37,$W37,J$4,[1]!juhe($T37,6)),[1]!juhe($T37,6),$C36,0)</f>
        <v>7.9218014802190408</v>
      </c>
      <c r="K40" s="120">
        <f ca="1">[1]!ripe([1]!Olekuvorrand($C36,$T37,$Y37,$X37,$W37,K$4,[1]!juhe($T37,6)),[1]!juhe($T37,6),$C36,0)</f>
        <v>8.1338675912679363</v>
      </c>
      <c r="L40" s="120">
        <f ca="1">[1]!ripe([1]!Olekuvorrand($C36,$T37,$Y37,$X37,$W37,L$4,[1]!juhe($T37,6)),[1]!juhe($T37,6),$C36,0)</f>
        <v>8.3444252930897314</v>
      </c>
      <c r="M40" s="120">
        <f ca="1">[1]!ripe([1]!Olekuvorrand($C36,$T37,$Y37,$X37,$W37,M$4,[1]!juhe($T37,6)),[1]!juhe($T37,6),$C36,0)</f>
        <v>8.5532992692184582</v>
      </c>
      <c r="N40" s="120">
        <f ca="1">[1]!ripe([1]!Olekuvorrand($C36,$T37,$Y37,$X37,$W37,N$4,[1]!juhe($T37,6)),[1]!juhe($T37,6),$C36,0)</f>
        <v>8.7603548693806896</v>
      </c>
      <c r="O40" s="190"/>
      <c r="P40" s="221"/>
      <c r="Q40" s="142" t="s">
        <v>203</v>
      </c>
      <c r="R40"/>
      <c r="S40"/>
      <c r="T40"/>
      <c r="U40"/>
      <c r="V40"/>
      <c r="W40"/>
      <c r="X40"/>
      <c r="Y40"/>
      <c r="Z40"/>
      <c r="AC40" s="121"/>
    </row>
    <row r="41" spans="1:29" x14ac:dyDescent="0.2">
      <c r="A41" s="105"/>
      <c r="B41" s="113" t="str">
        <f ca="1">INDIRECT("Visangud!C" &amp; R41)</f>
        <v>118Y-119Y</v>
      </c>
      <c r="C41" s="106">
        <f ca="1">INDIRECT("Visangud!"&amp;Q41&amp;R41)</f>
        <v>350.00766405881359</v>
      </c>
      <c r="D41" s="10" t="s">
        <v>31</v>
      </c>
      <c r="E41" s="12">
        <f ca="1">[1]!ripe(E$36,[1]!juhe($T$7,6),$C41,0)</f>
        <v>6.3583945127270933</v>
      </c>
      <c r="F41" s="12">
        <f ca="1">[1]!ripe(F$36,[1]!juhe($T$7,6),$C41,0)</f>
        <v>6.5450746308879388</v>
      </c>
      <c r="G41" s="12">
        <f ca="1">[1]!ripe(G$36,[1]!juhe($T$7,6),$C41,0)</f>
        <v>6.7334800421326566</v>
      </c>
      <c r="H41" s="12">
        <f ca="1">[1]!ripe(H$36,[1]!juhe($T$7,6),$C41,0)</f>
        <v>6.9232549839003497</v>
      </c>
      <c r="I41" s="12">
        <f ca="1">[1]!ripe(I$36,[1]!juhe($T$7,6),$C41,0)</f>
        <v>7.1140606235740629</v>
      </c>
      <c r="J41" s="12">
        <f ca="1">[1]!ripe(J$36,[1]!juhe($T$7,6),$C41,0)</f>
        <v>7.3055880651245992</v>
      </c>
      <c r="K41" s="12">
        <f ca="1">[1]!ripe(K$36,[1]!juhe($T$7,6),$C41,0)</f>
        <v>7.4975462946928566</v>
      </c>
      <c r="L41" s="12">
        <f ca="1">[1]!ripe(L$36,[1]!juhe($T$7,6),$C41,0)</f>
        <v>7.6896431343177225</v>
      </c>
      <c r="M41" s="12">
        <f ca="1">[1]!ripe(M$36,[1]!juhe($T$7,6),$C41,0)</f>
        <v>7.8816459908686785</v>
      </c>
      <c r="N41" s="12">
        <f ca="1">[1]!ripe(N$36,[1]!juhe($T$7,6),$C41,0)</f>
        <v>8.0733372135600696</v>
      </c>
      <c r="O41" s="107"/>
      <c r="Q41" s="142" t="s">
        <v>203</v>
      </c>
      <c r="R41">
        <v>30</v>
      </c>
      <c r="S41"/>
      <c r="T41"/>
      <c r="U41"/>
      <c r="V41"/>
      <c r="W41"/>
      <c r="X41"/>
      <c r="Y41"/>
      <c r="Z41"/>
      <c r="AC41" s="11"/>
    </row>
    <row r="42" spans="1:29" x14ac:dyDescent="0.2">
      <c r="A42" s="108"/>
      <c r="B42" s="113" t="str">
        <f t="shared" ref="B42:B43" ca="1" si="10">INDIRECT("Visangud!C" &amp; R42)</f>
        <v>119Y-120Y</v>
      </c>
      <c r="C42" s="106">
        <f t="shared" ref="C42:C43" ca="1" si="11">INDIRECT("Visangud!"&amp;Q42&amp;R42)</f>
        <v>354.20859631022307</v>
      </c>
      <c r="D42" s="10" t="s">
        <v>31</v>
      </c>
      <c r="E42" s="12">
        <f ca="1">[1]!ripe(E$36,[1]!juhe($T$7,6),$C42,0)</f>
        <v>6.5119424861345907</v>
      </c>
      <c r="F42" s="12">
        <f ca="1">[1]!ripe(F$36,[1]!juhe($T$7,6),$C42,0)</f>
        <v>6.7031307161720575</v>
      </c>
      <c r="G42" s="12">
        <f ca="1">[1]!ripe(G$36,[1]!juhe($T$7,6),$C42,0)</f>
        <v>6.896085903153045</v>
      </c>
      <c r="H42" s="12">
        <f ca="1">[1]!ripe(H$36,[1]!juhe($T$7,6),$C42,0)</f>
        <v>7.0904436932566863</v>
      </c>
      <c r="I42" s="12">
        <f ca="1">[1]!ripe(I$36,[1]!juhe($T$7,6),$C42,0)</f>
        <v>7.28585707144489</v>
      </c>
      <c r="J42" s="12">
        <f ca="1">[1]!ripe(J$36,[1]!juhe($T$7,6),$C42,0)</f>
        <v>7.4820096822017632</v>
      </c>
      <c r="K42" s="12">
        <f ca="1">[1]!ripe(K$36,[1]!juhe($T$7,6),$C42,0)</f>
        <v>7.6786034840155146</v>
      </c>
      <c r="L42" s="12">
        <f ca="1">[1]!ripe(L$36,[1]!juhe($T$7,6),$C42,0)</f>
        <v>7.8753392431606057</v>
      </c>
      <c r="M42" s="12">
        <f ca="1">[1]!ripe(M$36,[1]!juhe($T$7,6),$C42,0)</f>
        <v>8.0719787496477746</v>
      </c>
      <c r="N42" s="12">
        <f ca="1">[1]!ripe(N$36,[1]!juhe($T$7,6),$C42,0)</f>
        <v>8.2682990966732035</v>
      </c>
      <c r="O42" s="117"/>
      <c r="Q42" s="142" t="s">
        <v>203</v>
      </c>
      <c r="R42">
        <v>31</v>
      </c>
      <c r="S42"/>
      <c r="T42"/>
      <c r="U42"/>
      <c r="V42"/>
      <c r="W42"/>
      <c r="X42"/>
      <c r="Y42"/>
      <c r="Z42"/>
    </row>
    <row r="43" spans="1:29" x14ac:dyDescent="0.2">
      <c r="A43" s="108"/>
      <c r="B43" s="113" t="str">
        <f t="shared" ca="1" si="10"/>
        <v>120Y-121Y</v>
      </c>
      <c r="C43" s="106">
        <f t="shared" ca="1" si="11"/>
        <v>354.06492130690555</v>
      </c>
      <c r="D43" s="10" t="s">
        <v>31</v>
      </c>
      <c r="E43" s="12">
        <f ca="1">[1]!ripe(E$36,[1]!juhe($T$7,6),$C43,0)</f>
        <v>6.5066607757688866</v>
      </c>
      <c r="F43" s="12">
        <f ca="1">[1]!ripe(F$36,[1]!juhe($T$7,6),$C43,0)</f>
        <v>6.6976939367377097</v>
      </c>
      <c r="G43" s="12">
        <f ca="1">[1]!ripe(G$36,[1]!juhe($T$7,6),$C43,0)</f>
        <v>6.8904926215055147</v>
      </c>
      <c r="H43" s="12">
        <f ca="1">[1]!ripe(H$36,[1]!juhe($T$7,6),$C43,0)</f>
        <v>7.0846927717717598</v>
      </c>
      <c r="I43" s="12">
        <f ca="1">[1]!ripe(I$36,[1]!juhe($T$7,6),$C43,0)</f>
        <v>7.279947653955527</v>
      </c>
      <c r="J43" s="12">
        <f ca="1">[1]!ripe(J$36,[1]!juhe($T$7,6),$C43,0)</f>
        <v>7.4759411691307518</v>
      </c>
      <c r="K43" s="12">
        <f ca="1">[1]!ripe(K$36,[1]!juhe($T$7,6),$C43,0)</f>
        <v>7.6723755175213375</v>
      </c>
      <c r="L43" s="12">
        <f ca="1">[1]!ripe(L$36,[1]!juhe($T$7,6),$C43,0)</f>
        <v>7.8689517081044213</v>
      </c>
      <c r="M43" s="12">
        <f ca="1">[1]!ripe(M$36,[1]!juhe($T$7,6),$C43,0)</f>
        <v>8.06543172409825</v>
      </c>
      <c r="N43" s="12">
        <f ca="1">[1]!ripe(N$36,[1]!juhe($T$7,6),$C43,0)</f>
        <v>8.2615928394943925</v>
      </c>
      <c r="O43" s="117"/>
      <c r="Q43" s="142" t="s">
        <v>203</v>
      </c>
      <c r="R43">
        <v>32</v>
      </c>
      <c r="S43"/>
      <c r="T43"/>
      <c r="U43"/>
      <c r="V43"/>
      <c r="W43"/>
      <c r="X43"/>
      <c r="Y43"/>
      <c r="Z43"/>
    </row>
    <row r="44" spans="1:29" s="114" customFormat="1" hidden="1" x14ac:dyDescent="0.2">
      <c r="A44" s="187">
        <v>5</v>
      </c>
      <c r="B44" s="188" t="str">
        <f ca="1">R45</f>
        <v>121Y- 126Y</v>
      </c>
      <c r="C44" s="189">
        <f ca="1">S45</f>
        <v>429.81699666990465</v>
      </c>
      <c r="D44" s="118" t="s">
        <v>130</v>
      </c>
      <c r="E44" s="119">
        <f ca="1">[1]!Olekuvorrand($C44,$T45,$Y45,$X45,$W45,E$4,[1]!juhe($T45,6),TRUE)</f>
        <v>76.085984706878662</v>
      </c>
      <c r="F44" s="119">
        <f ca="1">[1]!Olekuvorrand($C44,$T45,$Y45,$X45,$W45,F$4,[1]!juhe($T45,6),TRUE)</f>
        <v>74.436604976654053</v>
      </c>
      <c r="G44" s="119">
        <f ca="1">[1]!Olekuvorrand($C44,$T45,$Y45,$X45,$W45,G$4,[1]!juhe($T45,6),TRUE)</f>
        <v>72.858631610870361</v>
      </c>
      <c r="H44" s="119">
        <f ca="1">[1]!Olekuvorrand($C44,$T45,$Y45,$X45,$W45,H$4,[1]!juhe($T45,6),TRUE)</f>
        <v>71.348607540130615</v>
      </c>
      <c r="I44" s="119">
        <f ca="1">[1]!Olekuvorrand($C44,$T45,$Y45,$X45,$W45,I$4,[1]!juhe($T45,6),TRUE)</f>
        <v>69.903552532196045</v>
      </c>
      <c r="J44" s="119">
        <f ca="1">[1]!Olekuvorrand($C44,$T45,$Y45,$X45,$W45,J$4,[1]!juhe($T45,6),TRUE)</f>
        <v>68.520128726959229</v>
      </c>
      <c r="K44" s="119">
        <f ca="1">[1]!Olekuvorrand($C44,$T45,$Y45,$X45,$W45,K$4,[1]!juhe($T45,6),TRUE)</f>
        <v>67.195475101470947</v>
      </c>
      <c r="L44" s="119">
        <f ca="1">[1]!Olekuvorrand($C44,$T45,$Y45,$X45,$W45,L$4,[1]!juhe($T45,6),TRUE)</f>
        <v>65.926611423492432</v>
      </c>
      <c r="M44" s="119">
        <f ca="1">[1]!Olekuvorrand($C44,$T45,$Y45,$X45,$W45,M$4,[1]!juhe($T45,6),TRUE)</f>
        <v>64.710557460784912</v>
      </c>
      <c r="N44" s="119">
        <f ca="1">[1]!Olekuvorrand($C44,$T45,$Y45,$X45,$W45,N$4,[1]!juhe($T45,6),TRUE)</f>
        <v>63.544809818267822</v>
      </c>
      <c r="O44" s="190">
        <f ca="1">U45</f>
        <v>65</v>
      </c>
      <c r="P44" s="221"/>
      <c r="Q44" s="142"/>
      <c r="R44"/>
      <c r="S44"/>
      <c r="T44"/>
      <c r="U44"/>
      <c r="V44"/>
      <c r="W44"/>
      <c r="X44"/>
      <c r="Y44"/>
      <c r="Z44"/>
    </row>
    <row r="45" spans="1:29" s="114" customFormat="1" x14ac:dyDescent="0.2">
      <c r="A45" s="187"/>
      <c r="B45" s="188"/>
      <c r="C45" s="189"/>
      <c r="D45" s="118" t="s">
        <v>32</v>
      </c>
      <c r="E45" s="119">
        <f ca="1">E44*[1]!juhe($T45,2)/10</f>
        <v>3458.1080049276352</v>
      </c>
      <c r="F45" s="119">
        <f ca="1">F44*[1]!juhe($T45,2)/10</f>
        <v>3383.1436961889267</v>
      </c>
      <c r="G45" s="119">
        <f ca="1">G44*[1]!juhe($T45,2)/10</f>
        <v>3311.4248067140579</v>
      </c>
      <c r="H45" s="119">
        <f ca="1">H44*[1]!juhe($T45,2)/10</f>
        <v>3242.7942126989365</v>
      </c>
      <c r="I45" s="119">
        <f ca="1">I44*[1]!juhe($T45,2)/10</f>
        <v>3177.1164625883102</v>
      </c>
      <c r="J45" s="119">
        <f ca="1">J44*[1]!juhe($T45,2)/10</f>
        <v>3114.2398506402969</v>
      </c>
      <c r="K45" s="119">
        <f ca="1">K44*[1]!juhe($T45,2)/10</f>
        <v>3054.0343433618546</v>
      </c>
      <c r="L45" s="119">
        <f ca="1">L44*[1]!juhe($T45,2)/10</f>
        <v>2996.364489197731</v>
      </c>
      <c r="M45" s="119">
        <f ca="1">M44*[1]!juhe($T45,2)/10</f>
        <v>2941.0948365926743</v>
      </c>
      <c r="N45" s="119">
        <f ca="1">N44*[1]!juhe($T45,2)/10</f>
        <v>2888.1116062402725</v>
      </c>
      <c r="O45" s="190"/>
      <c r="P45" s="221"/>
      <c r="Q45" s="142" t="s">
        <v>204</v>
      </c>
      <c r="R45" s="129" t="str">
        <f ca="1">INDIRECT("'"&amp;$S$1&amp;"'!"&amp;$Q45&amp;R$4)</f>
        <v>121Y- 126Y</v>
      </c>
      <c r="S45" s="129">
        <f ca="1">INDIRECT("'"&amp;$S$1&amp;"'!"&amp;$Q45&amp;S$4)</f>
        <v>429.81699666990465</v>
      </c>
      <c r="T45" s="129" t="str">
        <f ca="1">INDIRECT("'"&amp;$S$1&amp;"'!"&amp;$Q45&amp;T$4)</f>
        <v>402-AL1/52-ST1A</v>
      </c>
      <c r="U45" s="129">
        <f ca="1">INDIRECT("'"&amp;$S$1&amp;"'!"&amp;$Q45&amp;U$4)</f>
        <v>65</v>
      </c>
      <c r="V45" s="129">
        <f ca="1">INDIRECT("'"&amp;$S$1&amp;"'!"&amp;$Q45&amp;V$4)</f>
        <v>5</v>
      </c>
      <c r="W45" s="129">
        <f ca="1">INDIRECT("'"&amp;$S$1&amp;"'!"&amp;$Q45&amp;W$4)</f>
        <v>6.7950736930433617E-2</v>
      </c>
      <c r="X45" s="129">
        <f ca="1">INDIRECT("'"&amp;$S$1&amp;"'!"&amp;$Q45&amp;X$4)</f>
        <v>-5</v>
      </c>
      <c r="Y45" s="129">
        <f ca="1">INDIRECT("'"&amp;$S$1&amp;"'!"&amp;$Q45&amp;Y$4)</f>
        <v>117.9773211479187</v>
      </c>
      <c r="Z45" s="129">
        <v>3</v>
      </c>
    </row>
    <row r="46" spans="1:29" s="114" customFormat="1" x14ac:dyDescent="0.2">
      <c r="A46" s="187"/>
      <c r="B46" s="188"/>
      <c r="C46" s="189"/>
      <c r="D46" s="118" t="str">
        <f>CONCATENATE(Z45,"T, [daN]")</f>
        <v>3T, [daN]</v>
      </c>
      <c r="E46" s="119">
        <f ca="1">E45*$Z45</f>
        <v>10374.324014782906</v>
      </c>
      <c r="F46" s="119">
        <f t="shared" ref="F46:N46" ca="1" si="12">F45*$Z45</f>
        <v>10149.43108856678</v>
      </c>
      <c r="G46" s="119">
        <f t="shared" ca="1" si="12"/>
        <v>9934.2744201421738</v>
      </c>
      <c r="H46" s="119">
        <f t="shared" ca="1" si="12"/>
        <v>9728.3826380968094</v>
      </c>
      <c r="I46" s="119">
        <f t="shared" ca="1" si="12"/>
        <v>9531.3493877649307</v>
      </c>
      <c r="J46" s="119">
        <f t="shared" ca="1" si="12"/>
        <v>9342.7195519208908</v>
      </c>
      <c r="K46" s="119">
        <f t="shared" ca="1" si="12"/>
        <v>9162.1030300855637</v>
      </c>
      <c r="L46" s="119">
        <f t="shared" ca="1" si="12"/>
        <v>8989.0934675931931</v>
      </c>
      <c r="M46" s="119">
        <f t="shared" ca="1" si="12"/>
        <v>8823.2845097780228</v>
      </c>
      <c r="N46" s="119">
        <f t="shared" ca="1" si="12"/>
        <v>8664.3348187208176</v>
      </c>
      <c r="O46" s="190"/>
      <c r="P46" s="221"/>
      <c r="Q46" s="142" t="s">
        <v>204</v>
      </c>
      <c r="R46"/>
      <c r="S46"/>
      <c r="T46"/>
      <c r="U46"/>
      <c r="V46"/>
      <c r="W46"/>
      <c r="X46"/>
      <c r="Y46"/>
      <c r="Z46"/>
    </row>
    <row r="47" spans="1:29" s="114" customFormat="1" x14ac:dyDescent="0.2">
      <c r="A47" s="187"/>
      <c r="B47" s="188"/>
      <c r="C47" s="189"/>
      <c r="D47" s="118" t="s">
        <v>31</v>
      </c>
      <c r="E47" s="120">
        <f ca="1">[1]!ripe([1]!Olekuvorrand($C44,$T45,$Y45,$X45,$W45,E$4,[1]!juhe($T45,6),TRUE),[1]!juhe($T45,6),$C44,0)</f>
        <v>10.046169736926128</v>
      </c>
      <c r="F47" s="120">
        <f ca="1">[1]!ripe([1]!Olekuvorrand($C44,$T45,$Y45,$X45,$W45,F$4,[1]!juhe($T45,6),TRUE),[1]!juhe($T45,6),$C44,0)</f>
        <v>10.26877457947206</v>
      </c>
      <c r="G47" s="120">
        <f ca="1">[1]!ripe([1]!Olekuvorrand($C44,$T45,$Y45,$X45,$W45,G$4,[1]!juhe($T45,6),TRUE),[1]!juhe($T45,6),$C44,0)</f>
        <v>10.491175857500263</v>
      </c>
      <c r="H47" s="120">
        <f ca="1">[1]!ripe([1]!Olekuvorrand($C44,$T45,$Y45,$X45,$W45,H$4,[1]!juhe($T45,6),TRUE),[1]!juhe($T45,6),$C44,0)</f>
        <v>10.713211418128109</v>
      </c>
      <c r="I47" s="120">
        <f ca="1">[1]!ripe([1]!Olekuvorrand($C44,$T45,$Y45,$X45,$W45,I$4,[1]!juhe($T45,6),TRUE),[1]!juhe($T45,6),$C44,0)</f>
        <v>10.934676268626195</v>
      </c>
      <c r="J47" s="120">
        <f ca="1">[1]!ripe([1]!Olekuvorrand($C44,$T45,$Y45,$X45,$W45,J$4,[1]!juhe($T45,6),TRUE),[1]!juhe($T45,6),$C44,0)</f>
        <v>11.155447766485681</v>
      </c>
      <c r="K47" s="120">
        <f ca="1">[1]!ripe([1]!Olekuvorrand($C44,$T45,$Y45,$X45,$W45,K$4,[1]!juhe($T45,6),TRUE),[1]!juhe($T45,6),$C44,0)</f>
        <v>11.375359960059811</v>
      </c>
      <c r="L47" s="120">
        <f ca="1">[1]!ripe([1]!Olekuvorrand($C44,$T45,$Y45,$X45,$W45,L$4,[1]!juhe($T45,6),TRUE),[1]!juhe($T45,6),$C44,0)</f>
        <v>11.59429705944344</v>
      </c>
      <c r="M47" s="120">
        <f ca="1">[1]!ripe([1]!Olekuvorrand($C44,$T45,$Y45,$X45,$W45,M$4,[1]!juhe($T45,6),TRUE),[1]!juhe($T45,6),$C44,0)</f>
        <v>11.812179448920437</v>
      </c>
      <c r="N47" s="120">
        <f ca="1">[1]!ripe([1]!Olekuvorrand($C44,$T45,$Y45,$X45,$W45,N$4,[1]!juhe($T45,6),TRUE),[1]!juhe($T45,6),$C44,0)</f>
        <v>12.028877246662672</v>
      </c>
      <c r="O47" s="190"/>
      <c r="P47" s="221"/>
      <c r="Q47" s="142" t="s">
        <v>204</v>
      </c>
      <c r="R47"/>
      <c r="S47"/>
      <c r="T47"/>
      <c r="U47"/>
      <c r="V47"/>
      <c r="W47"/>
      <c r="X47"/>
      <c r="Y47"/>
      <c r="Z47"/>
    </row>
    <row r="48" spans="1:29" s="114" customFormat="1" x14ac:dyDescent="0.2">
      <c r="A48" s="187"/>
      <c r="B48" s="188"/>
      <c r="C48" s="189"/>
      <c r="D48" s="118" t="s">
        <v>195</v>
      </c>
      <c r="E48" s="120">
        <f ca="1">[1]!ripe([1]!Olekuvorrand($C44,$T45,$Y45,$X45,$W45,E$4,[1]!juhe($T45,6)),[1]!juhe($T45,6),$C44,0)</f>
        <v>10.575442677706057</v>
      </c>
      <c r="F48" s="120">
        <f ca="1">[1]!ripe([1]!Olekuvorrand($C44,$T45,$Y45,$X45,$W45,F$4,[1]!juhe($T45,6)),[1]!juhe($T45,6),$C44,0)</f>
        <v>10.815800742574334</v>
      </c>
      <c r="G48" s="120">
        <f ca="1">[1]!ripe([1]!Olekuvorrand($C44,$T45,$Y45,$X45,$W45,G$4,[1]!juhe($T45,6)),[1]!juhe($T45,6),$C44,0)</f>
        <v>11.054497491156441</v>
      </c>
      <c r="H48" s="120">
        <f ca="1">[1]!ripe([1]!Olekuvorrand($C44,$T45,$Y45,$X45,$W45,H$4,[1]!juhe($T45,6)),[1]!juhe($T45,6),$C44,0)</f>
        <v>11.291426926093816</v>
      </c>
      <c r="I48" s="120">
        <f ca="1">[1]!ripe([1]!Olekuvorrand($C44,$T45,$Y45,$X45,$W45,I$4,[1]!juhe($T45,6)),[1]!juhe($T45,6),$C44,0)</f>
        <v>11.526476174644998</v>
      </c>
      <c r="J48" s="120">
        <f ca="1">[1]!ripe([1]!Olekuvorrand($C44,$T45,$Y45,$X45,$W45,J$4,[1]!juhe($T45,6)),[1]!juhe($T45,6),$C44,0)</f>
        <v>11.759580692361443</v>
      </c>
      <c r="K48" s="120">
        <f ca="1">[1]!ripe([1]!Olekuvorrand($C44,$T45,$Y45,$X45,$W45,K$4,[1]!juhe($T45,6)),[1]!juhe($T45,6),$C44,0)</f>
        <v>11.990704224177216</v>
      </c>
      <c r="L48" s="120">
        <f ca="1">[1]!ripe([1]!Olekuvorrand($C44,$T45,$Y45,$X45,$W45,L$4,[1]!juhe($T45,6)),[1]!juhe($T45,6),$C44,0)</f>
        <v>12.219766503679837</v>
      </c>
      <c r="M48" s="120">
        <f ca="1">[1]!ripe([1]!Olekuvorrand($C44,$T45,$Y45,$X45,$W45,M$4,[1]!juhe($T45,6)),[1]!juhe($T45,6),$C44,0)</f>
        <v>12.446747907726397</v>
      </c>
      <c r="N48" s="120">
        <f ca="1">[1]!ripe([1]!Olekuvorrand($C44,$T45,$Y45,$X45,$W45,N$4,[1]!juhe($T45,6)),[1]!juhe($T45,6),$C44,0)</f>
        <v>12.671644310925803</v>
      </c>
      <c r="O48" s="190"/>
      <c r="P48" s="221"/>
      <c r="Q48" s="142" t="s">
        <v>204</v>
      </c>
      <c r="R48"/>
      <c r="S48"/>
      <c r="T48"/>
      <c r="U48"/>
      <c r="V48"/>
      <c r="W48"/>
      <c r="X48"/>
      <c r="Y48"/>
      <c r="Z48"/>
      <c r="AC48" s="121"/>
    </row>
    <row r="49" spans="1:29" x14ac:dyDescent="0.2">
      <c r="A49" s="105"/>
      <c r="B49" s="113" t="str">
        <f ca="1">INDIRECT("Visangud!C" &amp; R49)</f>
        <v>121Y-122Y</v>
      </c>
      <c r="C49" s="106">
        <f ca="1">INDIRECT("Visangud!"&amp;Q49&amp;R49)</f>
        <v>449.09595110651054</v>
      </c>
      <c r="D49" s="10" t="s">
        <v>31</v>
      </c>
      <c r="E49" s="12">
        <f ca="1">[1]!ripe(E$44,[1]!juhe($T$7,6),$C49,0)</f>
        <v>10.967600442376725</v>
      </c>
      <c r="F49" s="12">
        <f ca="1">[1]!ripe(F$44,[1]!juhe($T$7,6),$C49,0)</f>
        <v>11.21062251282892</v>
      </c>
      <c r="G49" s="12">
        <f ca="1">[1]!ripe(G$44,[1]!juhe($T$7,6),$C49,0)</f>
        <v>11.453422347906521</v>
      </c>
      <c r="H49" s="12">
        <f ca="1">[1]!ripe(H$44,[1]!juhe($T$7,6),$C49,0)</f>
        <v>11.695822922128796</v>
      </c>
      <c r="I49" s="12">
        <f ca="1">[1]!ripe(I$44,[1]!juhe($T$7,6),$C49,0)</f>
        <v>11.937600440914467</v>
      </c>
      <c r="J49" s="12">
        <f ca="1">[1]!ripe(J$44,[1]!juhe($T$7,6),$C49,0)</f>
        <v>12.178621013032407</v>
      </c>
      <c r="K49" s="12">
        <f ca="1">[1]!ripe(K$44,[1]!juhe($T$7,6),$C49,0)</f>
        <v>12.418703465816613</v>
      </c>
      <c r="L49" s="12">
        <f ca="1">[1]!ripe(L$44,[1]!juhe($T$7,6),$C49,0)</f>
        <v>12.657721389157739</v>
      </c>
      <c r="M49" s="12">
        <f ca="1">[1]!ripe(M$44,[1]!juhe($T$7,6),$C49,0)</f>
        <v>12.895587865017742</v>
      </c>
      <c r="N49" s="12">
        <f ca="1">[1]!ripe(N$44,[1]!juhe($T$7,6),$C49,0)</f>
        <v>13.132161098858701</v>
      </c>
      <c r="O49" s="107"/>
      <c r="Q49" s="142" t="s">
        <v>204</v>
      </c>
      <c r="R49">
        <v>33</v>
      </c>
      <c r="S49"/>
      <c r="T49"/>
      <c r="U49"/>
      <c r="V49"/>
      <c r="W49"/>
      <c r="X49"/>
      <c r="Y49"/>
      <c r="Z49"/>
      <c r="AC49" s="11"/>
    </row>
    <row r="50" spans="1:29" x14ac:dyDescent="0.2">
      <c r="A50" s="108"/>
      <c r="B50" s="113" t="str">
        <f t="shared" ref="B50:B53" ca="1" si="13">INDIRECT("Visangud!C" &amp; R50)</f>
        <v>122Y-123Y</v>
      </c>
      <c r="C50" s="106">
        <f t="shared" ref="C50:C53" ca="1" si="14">INDIRECT("Visangud!"&amp;Q50&amp;R50)</f>
        <v>441.34479763573052</v>
      </c>
      <c r="D50" s="10" t="s">
        <v>31</v>
      </c>
      <c r="E50" s="12">
        <f ca="1">[1]!ripe(E$44,[1]!juhe($T$7,6),$C50,0)</f>
        <v>10.592277853606486</v>
      </c>
      <c r="F50" s="12">
        <f ca="1">[1]!ripe(F$44,[1]!juhe($T$7,6),$C50,0)</f>
        <v>10.826983458384204</v>
      </c>
      <c r="G50" s="12">
        <f ca="1">[1]!ripe(G$44,[1]!juhe($T$7,6),$C50,0)</f>
        <v>11.061474432910849</v>
      </c>
      <c r="H50" s="12">
        <f ca="1">[1]!ripe(H$44,[1]!juhe($T$7,6),$C50,0)</f>
        <v>11.295579809700058</v>
      </c>
      <c r="I50" s="12">
        <f ca="1">[1]!ripe(I$44,[1]!juhe($T$7,6),$C50,0)</f>
        <v>11.529083452651735</v>
      </c>
      <c r="J50" s="12">
        <f ca="1">[1]!ripe(J$44,[1]!juhe($T$7,6),$C50,0)</f>
        <v>11.76185605243065</v>
      </c>
      <c r="K50" s="12">
        <f ca="1">[1]!ripe(K$44,[1]!juhe($T$7,6),$C50,0)</f>
        <v>11.993722636286124</v>
      </c>
      <c r="L50" s="12">
        <f ca="1">[1]!ripe(L$44,[1]!juhe($T$7,6),$C50,0)</f>
        <v>12.224561119993011</v>
      </c>
      <c r="M50" s="12">
        <f ca="1">[1]!ripe(M$44,[1]!juhe($T$7,6),$C50,0)</f>
        <v>12.454287559938093</v>
      </c>
      <c r="N50" s="12">
        <f ca="1">[1]!ripe(N$44,[1]!juhe($T$7,6),$C50,0)</f>
        <v>12.682765013938655</v>
      </c>
      <c r="O50" s="117"/>
      <c r="Q50" s="142" t="s">
        <v>204</v>
      </c>
      <c r="R50">
        <v>34</v>
      </c>
      <c r="S50"/>
      <c r="T50"/>
      <c r="U50"/>
      <c r="V50"/>
      <c r="W50"/>
      <c r="X50"/>
      <c r="Y50"/>
      <c r="Z50"/>
    </row>
    <row r="51" spans="1:29" x14ac:dyDescent="0.2">
      <c r="A51" s="108"/>
      <c r="B51" s="113" t="str">
        <f t="shared" ca="1" si="13"/>
        <v>123Y-124Y</v>
      </c>
      <c r="C51" s="106">
        <f t="shared" ca="1" si="14"/>
        <v>449.20141629336644</v>
      </c>
      <c r="D51" s="10" t="s">
        <v>31</v>
      </c>
      <c r="E51" s="12">
        <f ca="1">[1]!ripe(E$44,[1]!juhe($T$7,6),$C51,0)</f>
        <v>10.972752285078631</v>
      </c>
      <c r="F51" s="12">
        <f ca="1">[1]!ripe(F$44,[1]!juhe($T$7,6),$C51,0)</f>
        <v>11.215888510991414</v>
      </c>
      <c r="G51" s="12">
        <f ca="1">[1]!ripe(G$44,[1]!juhe($T$7,6),$C51,0)</f>
        <v>11.45880239713834</v>
      </c>
      <c r="H51" s="12">
        <f ca="1">[1]!ripe(H$44,[1]!juhe($T$7,6),$C51,0)</f>
        <v>11.701316834883981</v>
      </c>
      <c r="I51" s="12">
        <f ca="1">[1]!ripe(I$44,[1]!juhe($T$7,6),$C51,0)</f>
        <v>11.943207924523385</v>
      </c>
      <c r="J51" s="12">
        <f ca="1">[1]!ripe(J$44,[1]!juhe($T$7,6),$C51,0)</f>
        <v>12.184341711932309</v>
      </c>
      <c r="K51" s="12">
        <f ca="1">[1]!ripe(K$44,[1]!juhe($T$7,6),$C51,0)</f>
        <v>12.424536939341987</v>
      </c>
      <c r="L51" s="12">
        <f ca="1">[1]!ripe(L$44,[1]!juhe($T$7,6),$C51,0)</f>
        <v>12.663667137264092</v>
      </c>
      <c r="M51" s="12">
        <f ca="1">[1]!ripe(M$44,[1]!juhe($T$7,6),$C51,0)</f>
        <v>12.901645346832311</v>
      </c>
      <c r="N51" s="12">
        <f ca="1">[1]!ripe(N$44,[1]!juhe($T$7,6),$C51,0)</f>
        <v>13.138329706903173</v>
      </c>
      <c r="O51" s="117"/>
      <c r="Q51" s="142" t="s">
        <v>204</v>
      </c>
      <c r="R51">
        <v>35</v>
      </c>
      <c r="S51"/>
      <c r="T51"/>
      <c r="U51"/>
      <c r="V51"/>
      <c r="W51"/>
      <c r="X51"/>
      <c r="Y51"/>
      <c r="Z51"/>
    </row>
    <row r="52" spans="1:29" x14ac:dyDescent="0.2">
      <c r="A52" s="108"/>
      <c r="B52" s="113" t="str">
        <f t="shared" ca="1" si="13"/>
        <v>124Y-125Y</v>
      </c>
      <c r="C52" s="106">
        <f t="shared" ca="1" si="14"/>
        <v>436.49370213105294</v>
      </c>
      <c r="D52" s="10" t="s">
        <v>31</v>
      </c>
      <c r="E52" s="12">
        <f ca="1">[1]!ripe(E$44,[1]!juhe($T$7,6),$C52,0)</f>
        <v>10.360704924004638</v>
      </c>
      <c r="F52" s="12">
        <f ca="1">[1]!ripe(F$44,[1]!juhe($T$7,6),$C52,0)</f>
        <v>10.590279294005139</v>
      </c>
      <c r="G52" s="12">
        <f ca="1">[1]!ripe(G$44,[1]!juhe($T$7,6),$C52,0)</f>
        <v>10.819643726093339</v>
      </c>
      <c r="H52" s="12">
        <f ca="1">[1]!ripe(H$44,[1]!juhe($T$7,6),$C52,0)</f>
        <v>11.048630990547517</v>
      </c>
      <c r="I52" s="12">
        <f ca="1">[1]!ripe(I$44,[1]!juhe($T$7,6),$C52,0)</f>
        <v>11.277029676527864</v>
      </c>
      <c r="J52" s="12">
        <f ca="1">[1]!ripe(J$44,[1]!juhe($T$7,6),$C52,0)</f>
        <v>11.5047133017154</v>
      </c>
      <c r="K52" s="12">
        <f ca="1">[1]!ripe(K$44,[1]!juhe($T$7,6),$C52,0)</f>
        <v>11.731510718688897</v>
      </c>
      <c r="L52" s="12">
        <f ca="1">[1]!ripe(L$44,[1]!juhe($T$7,6),$C52,0)</f>
        <v>11.957302512281</v>
      </c>
      <c r="M52" s="12">
        <f ca="1">[1]!ripe(M$44,[1]!juhe($T$7,6),$C52,0)</f>
        <v>12.182006574089828</v>
      </c>
      <c r="N52" s="12">
        <f ca="1">[1]!ripe(N$44,[1]!juhe($T$7,6),$C52,0)</f>
        <v>12.405488955821504</v>
      </c>
      <c r="O52" s="117"/>
      <c r="Q52" s="142" t="s">
        <v>204</v>
      </c>
      <c r="R52">
        <v>36</v>
      </c>
      <c r="S52"/>
      <c r="T52"/>
      <c r="U52"/>
      <c r="V52"/>
      <c r="W52"/>
      <c r="X52"/>
      <c r="Y52"/>
      <c r="Z52"/>
    </row>
    <row r="53" spans="1:29" x14ac:dyDescent="0.2">
      <c r="A53" s="108"/>
      <c r="B53" s="113" t="str">
        <f t="shared" ca="1" si="13"/>
        <v>125Y-126Y</v>
      </c>
      <c r="C53" s="106">
        <f t="shared" ca="1" si="14"/>
        <v>347.58182475472358</v>
      </c>
      <c r="D53" s="10" t="s">
        <v>31</v>
      </c>
      <c r="E53" s="12">
        <f ca="1">[1]!ripe(E$44,[1]!juhe($T$7,6),$C53,0)</f>
        <v>6.5697290532382135</v>
      </c>
      <c r="F53" s="12">
        <f ca="1">[1]!ripe(F$44,[1]!juhe($T$7,6),$C53,0)</f>
        <v>6.7153022955546433</v>
      </c>
      <c r="G53" s="12">
        <f ca="1">[1]!ripe(G$44,[1]!juhe($T$7,6),$C53,0)</f>
        <v>6.8607424161180708</v>
      </c>
      <c r="H53" s="12">
        <f ca="1">[1]!ripe(H$44,[1]!juhe($T$7,6),$C53,0)</f>
        <v>7.0059433744641249</v>
      </c>
      <c r="I53" s="12">
        <f ca="1">[1]!ripe(I$44,[1]!juhe($T$7,6),$C53,0)</f>
        <v>7.1507711148556092</v>
      </c>
      <c r="J53" s="12">
        <f ca="1">[1]!ripe(J$44,[1]!juhe($T$7,6),$C53,0)</f>
        <v>7.2951454347800677</v>
      </c>
      <c r="K53" s="12">
        <f ca="1">[1]!ripe(K$44,[1]!juhe($T$7,6),$C53,0)</f>
        <v>7.4389578095575795</v>
      </c>
      <c r="L53" s="12">
        <f ca="1">[1]!ripe(L$44,[1]!juhe($T$7,6),$C53,0)</f>
        <v>7.5821325179606678</v>
      </c>
      <c r="M53" s="12">
        <f ca="1">[1]!ripe(M$44,[1]!juhe($T$7,6),$C53,0)</f>
        <v>7.7246174950036668</v>
      </c>
      <c r="N53" s="12">
        <f ca="1">[1]!ripe(N$44,[1]!juhe($T$7,6),$C53,0)</f>
        <v>7.8663278039950715</v>
      </c>
      <c r="O53" s="117"/>
      <c r="Q53" s="142" t="s">
        <v>204</v>
      </c>
      <c r="R53">
        <v>37</v>
      </c>
      <c r="S53"/>
      <c r="T53"/>
      <c r="U53"/>
      <c r="V53"/>
      <c r="W53"/>
      <c r="X53"/>
      <c r="Y53"/>
      <c r="Z53"/>
    </row>
    <row r="54" spans="1:29" s="114" customFormat="1" hidden="1" x14ac:dyDescent="0.2">
      <c r="A54" s="187">
        <v>6</v>
      </c>
      <c r="B54" s="188" t="str">
        <f ca="1">R55</f>
        <v>126Y- 128Y</v>
      </c>
      <c r="C54" s="189">
        <f ca="1">S55</f>
        <v>421.89254548697357</v>
      </c>
      <c r="D54" s="118" t="s">
        <v>130</v>
      </c>
      <c r="E54" s="119">
        <f ca="1">[1]!Olekuvorrand($C54,$T55,$Y55,$X55,$W55,E$4,[1]!juhe($T55,6),TRUE)</f>
        <v>76.408684253692627</v>
      </c>
      <c r="F54" s="119">
        <f ca="1">[1]!Olekuvorrand($C54,$T55,$Y55,$X55,$W55,F$4,[1]!juhe($T55,6),TRUE)</f>
        <v>74.704587459564209</v>
      </c>
      <c r="G54" s="119">
        <f ca="1">[1]!Olekuvorrand($C54,$T55,$Y55,$X55,$W55,G$4,[1]!juhe($T55,6),TRUE)</f>
        <v>73.074996471405029</v>
      </c>
      <c r="H54" s="119">
        <f ca="1">[1]!Olekuvorrand($C54,$T55,$Y55,$X55,$W55,H$4,[1]!juhe($T55,6),TRUE)</f>
        <v>71.516811847686768</v>
      </c>
      <c r="I54" s="119">
        <f ca="1">[1]!Olekuvorrand($C54,$T55,$Y55,$X55,$W55,I$4,[1]!juhe($T55,6),TRUE)</f>
        <v>70.026576519012451</v>
      </c>
      <c r="J54" s="119">
        <f ca="1">[1]!Olekuvorrand($C54,$T55,$Y55,$X55,$W55,J$4,[1]!juhe($T55,6),TRUE)</f>
        <v>68.601071834564209</v>
      </c>
      <c r="K54" s="119">
        <f ca="1">[1]!Olekuvorrand($C54,$T55,$Y55,$X55,$W55,K$4,[1]!juhe($T55,6),TRUE)</f>
        <v>67.23707914352417</v>
      </c>
      <c r="L54" s="119">
        <f ca="1">[1]!Olekuvorrand($C54,$T55,$Y55,$X55,$W55,L$4,[1]!juhe($T55,6),TRUE)</f>
        <v>65.931499004364014</v>
      </c>
      <c r="M54" s="119">
        <f ca="1">[1]!Olekuvorrand($C54,$T55,$Y55,$X55,$W55,M$4,[1]!juhe($T55,6),TRUE)</f>
        <v>64.681351184844971</v>
      </c>
      <c r="N54" s="119">
        <f ca="1">[1]!Olekuvorrand($C54,$T55,$Y55,$X55,$W55,N$4,[1]!juhe($T55,6),TRUE)</f>
        <v>63.483774662017822</v>
      </c>
      <c r="O54" s="190">
        <f ca="1">U55</f>
        <v>65</v>
      </c>
      <c r="P54" s="221"/>
      <c r="Q54" s="142" t="s">
        <v>204</v>
      </c>
      <c r="R54"/>
      <c r="S54"/>
      <c r="T54"/>
      <c r="U54"/>
      <c r="V54"/>
      <c r="W54"/>
      <c r="X54"/>
      <c r="Y54"/>
      <c r="Z54"/>
    </row>
    <row r="55" spans="1:29" s="114" customFormat="1" x14ac:dyDescent="0.2">
      <c r="A55" s="187"/>
      <c r="B55" s="188"/>
      <c r="C55" s="189"/>
      <c r="D55" s="118" t="s">
        <v>32</v>
      </c>
      <c r="E55" s="119">
        <f ca="1">E54*[1]!juhe($T55,2)/10</f>
        <v>3472.7746993303299</v>
      </c>
      <c r="F55" s="119">
        <f ca="1">F54*[1]!juhe($T55,2)/10</f>
        <v>3395.3235000371933</v>
      </c>
      <c r="G55" s="119">
        <f ca="1">G54*[1]!juhe($T55,2)/10</f>
        <v>3321.2585896253586</v>
      </c>
      <c r="H55" s="119">
        <f ca="1">H54*[1]!juhe($T55,2)/10</f>
        <v>3250.4390984773636</v>
      </c>
      <c r="I55" s="119">
        <f ca="1">I54*[1]!juhe($T55,2)/10</f>
        <v>3182.7079027891159</v>
      </c>
      <c r="J55" s="119">
        <f ca="1">J54*[1]!juhe($T55,2)/10</f>
        <v>3117.9187148809433</v>
      </c>
      <c r="K55" s="119">
        <f ca="1">K54*[1]!juhe($T55,2)/10</f>
        <v>3055.9252470731735</v>
      </c>
      <c r="L55" s="119">
        <f ca="1">L54*[1]!juhe($T55,2)/10</f>
        <v>2996.5866297483444</v>
      </c>
      <c r="M55" s="119">
        <f ca="1">M54*[1]!juhe($T55,2)/10</f>
        <v>2939.7674113512039</v>
      </c>
      <c r="N55" s="119">
        <f ca="1">N54*[1]!juhe($T55,2)/10</f>
        <v>2885.33755838871</v>
      </c>
      <c r="O55" s="190"/>
      <c r="P55" s="221"/>
      <c r="Q55" s="142" t="s">
        <v>205</v>
      </c>
      <c r="R55" s="129" t="str">
        <f ca="1">INDIRECT("'"&amp;$S$1&amp;"'!"&amp;$Q55&amp;R$4)</f>
        <v>126Y- 128Y</v>
      </c>
      <c r="S55" s="129">
        <f ca="1">INDIRECT("'"&amp;$S$1&amp;"'!"&amp;$Q55&amp;S$4)</f>
        <v>421.89254548697357</v>
      </c>
      <c r="T55" s="129" t="str">
        <f ca="1">INDIRECT("'"&amp;$S$1&amp;"'!"&amp;$Q55&amp;T$4)</f>
        <v>402-AL1/52-ST1A</v>
      </c>
      <c r="U55" s="129">
        <f ca="1">INDIRECT("'"&amp;$S$1&amp;"'!"&amp;$Q55&amp;U$4)</f>
        <v>65</v>
      </c>
      <c r="V55" s="129">
        <f ca="1">INDIRECT("'"&amp;$S$1&amp;"'!"&amp;$Q55&amp;V$4)</f>
        <v>5</v>
      </c>
      <c r="W55" s="129">
        <f ca="1">INDIRECT("'"&amp;$S$1&amp;"'!"&amp;$Q55&amp;W$4)</f>
        <v>6.7976314134668453E-2</v>
      </c>
      <c r="X55" s="129">
        <f ca="1">INDIRECT("'"&amp;$S$1&amp;"'!"&amp;$Q55&amp;X$4)</f>
        <v>-5</v>
      </c>
      <c r="Y55" s="129">
        <f ca="1">INDIRECT("'"&amp;$S$1&amp;"'!"&amp;$Q55&amp;Y$4)</f>
        <v>117.64734983444214</v>
      </c>
      <c r="Z55" s="129">
        <v>3</v>
      </c>
    </row>
    <row r="56" spans="1:29" s="114" customFormat="1" x14ac:dyDescent="0.2">
      <c r="A56" s="187"/>
      <c r="B56" s="188"/>
      <c r="C56" s="189"/>
      <c r="D56" s="118" t="str">
        <f>CONCATENATE(Z55,"T, [daN]")</f>
        <v>3T, [daN]</v>
      </c>
      <c r="E56" s="119">
        <f ca="1">E55*$Z55</f>
        <v>10418.32409799099</v>
      </c>
      <c r="F56" s="119">
        <f t="shared" ref="F56:N56" ca="1" si="15">F55*$Z55</f>
        <v>10185.97050011158</v>
      </c>
      <c r="G56" s="119">
        <f t="shared" ca="1" si="15"/>
        <v>9963.7757688760757</v>
      </c>
      <c r="H56" s="119">
        <f t="shared" ca="1" si="15"/>
        <v>9751.3172954320908</v>
      </c>
      <c r="I56" s="119">
        <f t="shared" ca="1" si="15"/>
        <v>9548.1237083673477</v>
      </c>
      <c r="J56" s="119">
        <f t="shared" ca="1" si="15"/>
        <v>9353.7561446428299</v>
      </c>
      <c r="K56" s="119">
        <f t="shared" ca="1" si="15"/>
        <v>9167.7757412195206</v>
      </c>
      <c r="L56" s="119">
        <f t="shared" ca="1" si="15"/>
        <v>8989.7598892450333</v>
      </c>
      <c r="M56" s="119">
        <f t="shared" ca="1" si="15"/>
        <v>8819.3022340536118</v>
      </c>
      <c r="N56" s="119">
        <f t="shared" ca="1" si="15"/>
        <v>8656.0126751661301</v>
      </c>
      <c r="O56" s="190"/>
      <c r="P56" s="221"/>
      <c r="Q56" s="142" t="s">
        <v>205</v>
      </c>
      <c r="R56"/>
      <c r="S56"/>
      <c r="T56"/>
      <c r="U56"/>
      <c r="V56"/>
      <c r="W56"/>
      <c r="X56"/>
      <c r="Y56"/>
      <c r="Z56"/>
    </row>
    <row r="57" spans="1:29" s="114" customFormat="1" x14ac:dyDescent="0.2">
      <c r="A57" s="187"/>
      <c r="B57" s="188"/>
      <c r="C57" s="189"/>
      <c r="D57" s="118" t="s">
        <v>31</v>
      </c>
      <c r="E57" s="120">
        <f ca="1">[1]!ripe([1]!Olekuvorrand($C54,$T55,$Y55,$X55,$W55,E$4,[1]!juhe($T55,6),TRUE),[1]!juhe($T55,6),$C54,0)</f>
        <v>9.638267802075454</v>
      </c>
      <c r="F57" s="120">
        <f ca="1">[1]!ripe([1]!Olekuvorrand($C54,$T55,$Y55,$X55,$W55,F$4,[1]!juhe($T55,6),TRUE),[1]!juhe($T55,6),$C54,0)</f>
        <v>9.8581276770979649</v>
      </c>
      <c r="G57" s="120">
        <f ca="1">[1]!ripe([1]!Olekuvorrand($C54,$T55,$Y55,$X55,$W55,G$4,[1]!juhe($T55,6),TRUE),[1]!juhe($T55,6),$C54,0)</f>
        <v>10.077966429043819</v>
      </c>
      <c r="H57" s="120">
        <f ca="1">[1]!ripe([1]!Olekuvorrand($C54,$T55,$Y55,$X55,$W55,H$4,[1]!juhe($T55,6),TRUE),[1]!juhe($T55,6),$C54,0)</f>
        <v>10.297541825686627</v>
      </c>
      <c r="I57" s="120">
        <f ca="1">[1]!ripe([1]!Olekuvorrand($C54,$T55,$Y55,$X55,$W55,I$4,[1]!juhe($T55,6),TRUE),[1]!juhe($T55,6),$C54,0)</f>
        <v>10.516683777070945</v>
      </c>
      <c r="J57" s="120">
        <f ca="1">[1]!ripe([1]!Olekuvorrand($C54,$T55,$Y55,$X55,$W55,J$4,[1]!juhe($T55,6),TRUE),[1]!juhe($T55,6),$C54,0)</f>
        <v>10.735216543224055</v>
      </c>
      <c r="K57" s="120">
        <f ca="1">[1]!ripe([1]!Olekuvorrand($C54,$T55,$Y55,$X55,$W55,K$4,[1]!juhe($T55,6),TRUE),[1]!juhe($T55,6),$C54,0)</f>
        <v>10.952994547387997</v>
      </c>
      <c r="L57" s="120">
        <f ca="1">[1]!ripe([1]!Olekuvorrand($C54,$T55,$Y55,$X55,$W55,L$4,[1]!juhe($T55,6),TRUE),[1]!juhe($T55,6),$C54,0)</f>
        <v>11.169886508913894</v>
      </c>
      <c r="M57" s="120">
        <f ca="1">[1]!ripe([1]!Olekuvorrand($C54,$T55,$Y55,$X55,$W55,M$4,[1]!juhe($T55,6),TRUE),[1]!juhe($T55,6),$C54,0)</f>
        <v>11.385775772319784</v>
      </c>
      <c r="N57" s="120">
        <f ca="1">[1]!ripe([1]!Olekuvorrand($C54,$T55,$Y55,$X55,$W55,N$4,[1]!juhe($T55,6),TRUE),[1]!juhe($T55,6),$C54,0)</f>
        <v>11.600560381957408</v>
      </c>
      <c r="O57" s="190"/>
      <c r="P57" s="221"/>
      <c r="Q57" s="142" t="s">
        <v>205</v>
      </c>
      <c r="R57"/>
      <c r="S57"/>
      <c r="T57"/>
      <c r="U57"/>
      <c r="V57"/>
      <c r="W57"/>
      <c r="X57"/>
      <c r="Y57"/>
      <c r="Z57"/>
    </row>
    <row r="58" spans="1:29" s="114" customFormat="1" x14ac:dyDescent="0.2">
      <c r="A58" s="187"/>
      <c r="B58" s="188"/>
      <c r="C58" s="189"/>
      <c r="D58" s="118" t="s">
        <v>195</v>
      </c>
      <c r="E58" s="120">
        <f ca="1">[1]!ripe([1]!Olekuvorrand($C54,$T55,$Y55,$X55,$W55,E$4,[1]!juhe($T55,6)),[1]!juhe($T55,6),$C54,0)</f>
        <v>10.154698493073306</v>
      </c>
      <c r="F58" s="120">
        <f ca="1">[1]!ripe([1]!Olekuvorrand($C54,$T55,$Y55,$X55,$W55,F$4,[1]!juhe($T55,6)),[1]!juhe($T55,6),$C54,0)</f>
        <v>10.393135740972394</v>
      </c>
      <c r="G58" s="120">
        <f ca="1">[1]!ripe([1]!Olekuvorrand($C54,$T55,$Y55,$X55,$W55,G$4,[1]!juhe($T55,6)),[1]!juhe($T55,6),$C54,0)</f>
        <v>10.630000380422702</v>
      </c>
      <c r="H58" s="120">
        <f ca="1">[1]!ripe([1]!Olekuvorrand($C54,$T55,$Y55,$X55,$W55,H$4,[1]!juhe($T55,6)),[1]!juhe($T55,6),$C54,0)</f>
        <v>10.865152604292211</v>
      </c>
      <c r="I58" s="120">
        <f ca="1">[1]!ripe([1]!Olekuvorrand($C54,$T55,$Y55,$X55,$W55,I$4,[1]!juhe($T55,6)),[1]!juhe($T55,6),$C54,0)</f>
        <v>11.098508303242076</v>
      </c>
      <c r="J58" s="120">
        <f ca="1">[1]!ripe([1]!Olekuvorrand($C54,$T55,$Y55,$X55,$W55,J$4,[1]!juhe($T55,6)),[1]!juhe($T55,6),$C54,0)</f>
        <v>11.329959819292995</v>
      </c>
      <c r="K58" s="120">
        <f ca="1">[1]!ripe([1]!Olekuvorrand($C54,$T55,$Y55,$X55,$W55,K$4,[1]!juhe($T55,6)),[1]!juhe($T55,6),$C54,0)</f>
        <v>11.559448774522956</v>
      </c>
      <c r="L58" s="120">
        <f ca="1">[1]!ripe([1]!Olekuvorrand($C54,$T55,$Y55,$X55,$W55,L$4,[1]!juhe($T55,6)),[1]!juhe($T55,6),$C54,0)</f>
        <v>11.786900987820168</v>
      </c>
      <c r="M58" s="120">
        <f ca="1">[1]!ripe([1]!Olekuvorrand($C54,$T55,$Y55,$X55,$W55,M$4,[1]!juhe($T55,6)),[1]!juhe($T55,6),$C54,0)</f>
        <v>12.012308754143437</v>
      </c>
      <c r="N58" s="120">
        <f ca="1">[1]!ripe([1]!Olekuvorrand($C54,$T55,$Y55,$X55,$W55,N$4,[1]!juhe($T55,6)),[1]!juhe($T55,6),$C54,0)</f>
        <v>12.235639421484452</v>
      </c>
      <c r="O58" s="190"/>
      <c r="P58" s="221"/>
      <c r="Q58" s="142" t="s">
        <v>205</v>
      </c>
      <c r="R58"/>
      <c r="S58"/>
      <c r="T58"/>
      <c r="U58"/>
      <c r="V58"/>
      <c r="W58"/>
      <c r="X58"/>
      <c r="Y58"/>
      <c r="Z58"/>
      <c r="AC58" s="121"/>
    </row>
    <row r="59" spans="1:29" x14ac:dyDescent="0.2">
      <c r="A59" s="105"/>
      <c r="B59" s="113" t="str">
        <f t="shared" ref="B59:B60" ca="1" si="16">INDIRECT("Visangud!C" &amp; R59)</f>
        <v>126Y-127Y</v>
      </c>
      <c r="C59" s="106">
        <f t="shared" ref="C59:C60" ca="1" si="17">INDIRECT("Visangud!"&amp;Q59&amp;R59)</f>
        <v>417.31009393500989</v>
      </c>
      <c r="D59" s="10" t="s">
        <v>31</v>
      </c>
      <c r="E59" s="12">
        <f ca="1">[1]!ripe(E$54,[1]!juhe($T$7,6),$C59,0)</f>
        <v>9.4300297902214147</v>
      </c>
      <c r="F59" s="12">
        <f ca="1">[1]!ripe(F$54,[1]!juhe($T$7,6),$C59,0)</f>
        <v>9.6451395188274383</v>
      </c>
      <c r="G59" s="12">
        <f ca="1">[1]!ripe(G$54,[1]!juhe($T$7,6),$C59,0)</f>
        <v>9.8602285807279699</v>
      </c>
      <c r="H59" s="12">
        <f ca="1">[1]!ripe(H$54,[1]!juhe($T$7,6),$C59,0)</f>
        <v>10.075059977205198</v>
      </c>
      <c r="I59" s="12">
        <f ca="1">[1]!ripe(I$54,[1]!juhe($T$7,6),$C59,0)</f>
        <v>10.289467293154271</v>
      </c>
      <c r="J59" s="12">
        <f ca="1">[1]!ripe(J$54,[1]!juhe($T$7,6),$C59,0)</f>
        <v>10.503278585523585</v>
      </c>
      <c r="K59" s="12">
        <f ca="1">[1]!ripe(K$54,[1]!juhe($T$7,6),$C59,0)</f>
        <v>10.716351422789916</v>
      </c>
      <c r="L59" s="12">
        <f ca="1">[1]!ripe(L$54,[1]!juhe($T$7,6),$C59,0)</f>
        <v>10.928557360666881</v>
      </c>
      <c r="M59" s="12">
        <f ca="1">[1]!ripe(M$54,[1]!juhe($T$7,6),$C59,0)</f>
        <v>11.13978226405337</v>
      </c>
      <c r="N59" s="12">
        <f ca="1">[1]!ripe(N$54,[1]!juhe($T$7,6),$C59,0)</f>
        <v>11.349926380087137</v>
      </c>
      <c r="O59" s="107"/>
      <c r="Q59" s="142" t="s">
        <v>205</v>
      </c>
      <c r="R59">
        <v>38</v>
      </c>
      <c r="S59"/>
      <c r="T59"/>
      <c r="U59"/>
      <c r="V59"/>
      <c r="W59"/>
      <c r="X59"/>
      <c r="Y59"/>
      <c r="Z59"/>
      <c r="AC59" s="11"/>
    </row>
    <row r="60" spans="1:29" x14ac:dyDescent="0.2">
      <c r="A60" s="108"/>
      <c r="B60" s="113" t="str">
        <f t="shared" ca="1" si="16"/>
        <v>127Y-128Y</v>
      </c>
      <c r="C60" s="106">
        <f t="shared" ca="1" si="17"/>
        <v>426.33034198842131</v>
      </c>
      <c r="D60" s="10" t="s">
        <v>31</v>
      </c>
      <c r="E60" s="12">
        <f ca="1">[1]!ripe(E$54,[1]!juhe($T$7,6),$C60,0)</f>
        <v>9.84209993816585</v>
      </c>
      <c r="F60" s="12">
        <f ca="1">[1]!ripe(F$54,[1]!juhe($T$7,6),$C60,0)</f>
        <v>10.066609456556513</v>
      </c>
      <c r="G60" s="12">
        <f ca="1">[1]!ripe(G$54,[1]!juhe($T$7,6),$C60,0)</f>
        <v>10.291097405155206</v>
      </c>
      <c r="H60" s="12">
        <f ca="1">[1]!ripe(H$54,[1]!juhe($T$7,6),$C60,0)</f>
        <v>10.515316428956929</v>
      </c>
      <c r="I60" s="12">
        <f ca="1">[1]!ripe(I$54,[1]!juhe($T$7,6),$C60,0)</f>
        <v>10.739092840907704</v>
      </c>
      <c r="J60" s="12">
        <f ca="1">[1]!ripe(J$54,[1]!juhe($T$7,6),$C60,0)</f>
        <v>10.96224718444852</v>
      </c>
      <c r="K60" s="12">
        <f ca="1">[1]!ripe(K$54,[1]!juhe($T$7,6),$C60,0)</f>
        <v>11.184630804133198</v>
      </c>
      <c r="L60" s="12">
        <f ca="1">[1]!ripe(L$54,[1]!juhe($T$7,6),$C60,0)</f>
        <v>11.406109642961791</v>
      </c>
      <c r="M60" s="12">
        <f ca="1">[1]!ripe(M$54,[1]!juhe($T$7,6),$C60,0)</f>
        <v>11.626564578397414</v>
      </c>
      <c r="N60" s="12">
        <f ca="1">[1]!ripe(N$54,[1]!juhe($T$7,6),$C60,0)</f>
        <v>11.845891498612085</v>
      </c>
      <c r="O60" s="117"/>
      <c r="Q60" s="142" t="s">
        <v>205</v>
      </c>
      <c r="R60">
        <v>39</v>
      </c>
      <c r="S60"/>
      <c r="T60"/>
      <c r="U60"/>
      <c r="V60"/>
      <c r="W60"/>
      <c r="X60"/>
      <c r="Y60"/>
      <c r="Z60"/>
    </row>
    <row r="61" spans="1:29" s="114" customFormat="1" hidden="1" x14ac:dyDescent="0.2">
      <c r="A61" s="187">
        <v>7</v>
      </c>
      <c r="B61" s="188" t="str">
        <f ca="1">R62</f>
        <v>128Y- 133Y</v>
      </c>
      <c r="C61" s="189">
        <f ca="1">S62</f>
        <v>408.37030439381806</v>
      </c>
      <c r="D61" s="118" t="s">
        <v>130</v>
      </c>
      <c r="E61" s="119">
        <f ca="1">[1]!Olekuvorrand($C61,$T62,$Y62,$X62,$W62,E$4,[1]!juhe($T62,6),TRUE)</f>
        <v>76.985180377960205</v>
      </c>
      <c r="F61" s="119">
        <f ca="1">[1]!Olekuvorrand($C61,$T62,$Y62,$X62,$W62,F$4,[1]!juhe($T62,6),TRUE)</f>
        <v>75.182735919952393</v>
      </c>
      <c r="G61" s="119">
        <f ca="1">[1]!Olekuvorrand($C61,$T62,$Y62,$X62,$W62,G$4,[1]!juhe($T62,6),TRUE)</f>
        <v>73.460757732391357</v>
      </c>
      <c r="H61" s="119">
        <f ca="1">[1]!Olekuvorrand($C61,$T62,$Y62,$X62,$W62,H$4,[1]!juhe($T62,6),TRUE)</f>
        <v>71.815907955169678</v>
      </c>
      <c r="I61" s="119">
        <f ca="1">[1]!Olekuvorrand($C61,$T62,$Y62,$X62,$W62,I$4,[1]!juhe($T62,6),TRUE)</f>
        <v>70.24461030960083</v>
      </c>
      <c r="J61" s="119">
        <f ca="1">[1]!Olekuvorrand($C61,$T62,$Y62,$X62,$W62,J$4,[1]!juhe($T62,6),TRUE)</f>
        <v>68.743288516998291</v>
      </c>
      <c r="K61" s="119">
        <f ca="1">[1]!Olekuvorrand($C61,$T62,$Y62,$X62,$W62,K$4,[1]!juhe($T62,6),TRUE)</f>
        <v>67.308723926544189</v>
      </c>
      <c r="L61" s="119">
        <f ca="1">[1]!Olekuvorrand($C61,$T62,$Y62,$X62,$W62,L$4,[1]!juhe($T62,6),TRUE)</f>
        <v>65.937340259552002</v>
      </c>
      <c r="M61" s="119">
        <f ca="1">[1]!Olekuvorrand($C61,$T62,$Y62,$X62,$W62,M$4,[1]!juhe($T62,6),TRUE)</f>
        <v>64.626038074493408</v>
      </c>
      <c r="N61" s="119">
        <f ca="1">[1]!Olekuvorrand($C61,$T62,$Y62,$X62,$W62,N$4,[1]!juhe($T62,6),TRUE)</f>
        <v>63.371717929840088</v>
      </c>
      <c r="O61" s="190">
        <f ca="1">U62</f>
        <v>65</v>
      </c>
      <c r="P61" s="221"/>
      <c r="Q61" s="142" t="s">
        <v>205</v>
      </c>
      <c r="R61"/>
      <c r="S61"/>
      <c r="T61"/>
      <c r="U61"/>
      <c r="V61"/>
      <c r="W61"/>
      <c r="X61"/>
      <c r="Y61"/>
      <c r="Z61"/>
    </row>
    <row r="62" spans="1:29" s="114" customFormat="1" x14ac:dyDescent="0.2">
      <c r="A62" s="187"/>
      <c r="B62" s="188"/>
      <c r="C62" s="189"/>
      <c r="D62" s="118" t="s">
        <v>32</v>
      </c>
      <c r="E62" s="119">
        <f ca="1">E61*[1]!juhe($T62,2)/10</f>
        <v>3498.9764481782913</v>
      </c>
      <c r="F62" s="119">
        <f ca="1">F61*[1]!juhe($T62,2)/10</f>
        <v>3417.0553475618362</v>
      </c>
      <c r="G62" s="119">
        <f ca="1">G61*[1]!juhe($T62,2)/10</f>
        <v>3338.7914389371872</v>
      </c>
      <c r="H62" s="119">
        <f ca="1">H61*[1]!juhe($T62,2)/10</f>
        <v>3264.0330165624619</v>
      </c>
      <c r="I62" s="119">
        <f ca="1">I61*[1]!juhe($T62,2)/10</f>
        <v>3192.6175385713577</v>
      </c>
      <c r="J62" s="119">
        <f ca="1">J61*[1]!juhe($T62,2)/10</f>
        <v>3124.3824630975723</v>
      </c>
      <c r="K62" s="119">
        <f ca="1">K61*[1]!juhe($T62,2)/10</f>
        <v>3059.1815024614334</v>
      </c>
      <c r="L62" s="119">
        <f ca="1">L61*[1]!juhe($T62,2)/10</f>
        <v>2996.8521147966385</v>
      </c>
      <c r="M62" s="119">
        <f ca="1">M61*[1]!juhe($T62,2)/10</f>
        <v>2937.2534304857254</v>
      </c>
      <c r="N62" s="119">
        <f ca="1">N61*[1]!juhe($T62,2)/10</f>
        <v>2880.244579911232</v>
      </c>
      <c r="O62" s="190"/>
      <c r="P62" s="221"/>
      <c r="Q62" s="142" t="s">
        <v>206</v>
      </c>
      <c r="R62" s="129" t="str">
        <f ca="1">INDIRECT("'"&amp;$S$1&amp;"'!"&amp;$Q62&amp;R$4)</f>
        <v>128Y- 133Y</v>
      </c>
      <c r="S62" s="129">
        <f ca="1">INDIRECT("'"&amp;$S$1&amp;"'!"&amp;$Q62&amp;S$4)</f>
        <v>408.37030439381806</v>
      </c>
      <c r="T62" s="129" t="str">
        <f ca="1">INDIRECT("'"&amp;$S$1&amp;"'!"&amp;$Q62&amp;T$4)</f>
        <v>402-AL1/52-ST1A</v>
      </c>
      <c r="U62" s="129">
        <f ca="1">INDIRECT("'"&amp;$S$1&amp;"'!"&amp;$Q62&amp;U$4)</f>
        <v>65</v>
      </c>
      <c r="V62" s="129">
        <f ca="1">INDIRECT("'"&amp;$S$1&amp;"'!"&amp;$Q62&amp;V$4)</f>
        <v>5</v>
      </c>
      <c r="W62" s="129">
        <f ca="1">INDIRECT("'"&amp;$S$1&amp;"'!"&amp;$Q62&amp;W$4)</f>
        <v>6.8021182684483483E-2</v>
      </c>
      <c r="X62" s="129">
        <f ca="1">INDIRECT("'"&amp;$S$1&amp;"'!"&amp;$Q62&amp;X$4)</f>
        <v>-5</v>
      </c>
      <c r="Y62" s="129">
        <f ca="1">INDIRECT("'"&amp;$S$1&amp;"'!"&amp;$Q62&amp;Y$4)</f>
        <v>117.05809831619263</v>
      </c>
      <c r="Z62" s="129">
        <v>3</v>
      </c>
    </row>
    <row r="63" spans="1:29" s="114" customFormat="1" x14ac:dyDescent="0.2">
      <c r="A63" s="187"/>
      <c r="B63" s="188"/>
      <c r="C63" s="189"/>
      <c r="D63" s="118" t="str">
        <f>CONCATENATE(Z62,"T, [daN]")</f>
        <v>3T, [daN]</v>
      </c>
      <c r="E63" s="119">
        <f ca="1">E62*$Z62</f>
        <v>10496.929344534874</v>
      </c>
      <c r="F63" s="119">
        <f t="shared" ref="F63:N63" ca="1" si="18">F62*$Z62</f>
        <v>10251.166042685509</v>
      </c>
      <c r="G63" s="119">
        <f t="shared" ca="1" si="18"/>
        <v>10016.374316811562</v>
      </c>
      <c r="H63" s="119">
        <f t="shared" ca="1" si="18"/>
        <v>9792.0990496873856</v>
      </c>
      <c r="I63" s="119">
        <f t="shared" ca="1" si="18"/>
        <v>9577.8526157140732</v>
      </c>
      <c r="J63" s="119">
        <f t="shared" ca="1" si="18"/>
        <v>9373.147389292717</v>
      </c>
      <c r="K63" s="119">
        <f t="shared" ca="1" si="18"/>
        <v>9177.5445073843002</v>
      </c>
      <c r="L63" s="119">
        <f t="shared" ca="1" si="18"/>
        <v>8990.5563443899155</v>
      </c>
      <c r="M63" s="119">
        <f t="shared" ca="1" si="18"/>
        <v>8811.7602914571762</v>
      </c>
      <c r="N63" s="119">
        <f t="shared" ca="1" si="18"/>
        <v>8640.733739733696</v>
      </c>
      <c r="O63" s="190"/>
      <c r="P63" s="221"/>
      <c r="Q63" s="142" t="s">
        <v>206</v>
      </c>
      <c r="R63"/>
      <c r="S63"/>
      <c r="T63"/>
      <c r="U63"/>
      <c r="V63"/>
      <c r="W63"/>
      <c r="X63"/>
      <c r="Y63"/>
      <c r="Z63"/>
    </row>
    <row r="64" spans="1:29" s="114" customFormat="1" x14ac:dyDescent="0.2">
      <c r="A64" s="187"/>
      <c r="B64" s="188"/>
      <c r="C64" s="189"/>
      <c r="D64" s="118" t="s">
        <v>31</v>
      </c>
      <c r="E64" s="120">
        <f ca="1">[1]!ripe([1]!Olekuvorrand($C61,$T62,$Y62,$X62,$W62,E$4,[1]!juhe($T62,6),TRUE),[1]!juhe($T62,6),$C61,0)</f>
        <v>8.9627066620221338</v>
      </c>
      <c r="F64" s="120">
        <f ca="1">[1]!ripe([1]!Olekuvorrand($C61,$T62,$Y62,$X62,$W62,F$4,[1]!juhe($T62,6),TRUE),[1]!juhe($T62,6),$C61,0)</f>
        <v>9.1775802065139391</v>
      </c>
      <c r="G64" s="120">
        <f ca="1">[1]!ripe([1]!Olekuvorrand($C61,$T62,$Y62,$X62,$W62,G$4,[1]!juhe($T62,6),TRUE),[1]!juhe($T62,6),$C61,0)</f>
        <v>9.3927099358829089</v>
      </c>
      <c r="H64" s="120">
        <f ca="1">[1]!ripe([1]!Olekuvorrand($C61,$T62,$Y62,$X62,$W62,H$4,[1]!juhe($T62,6),TRUE),[1]!juhe($T62,6),$C61,0)</f>
        <v>9.6078377158615336</v>
      </c>
      <c r="I64" s="120">
        <f ca="1">[1]!ripe([1]!Olekuvorrand($C61,$T62,$Y62,$X62,$W62,I$4,[1]!juhe($T62,6),TRUE),[1]!juhe($T62,6),$C61,0)</f>
        <v>9.8227548848144579</v>
      </c>
      <c r="J64" s="120">
        <f ca="1">[1]!ripe([1]!Olekuvorrand($C61,$T62,$Y62,$X62,$W62,J$4,[1]!juhe($T62,6),TRUE),[1]!juhe($T62,6),$C61,0)</f>
        <v>10.037279332074768</v>
      </c>
      <c r="K64" s="120">
        <f ca="1">[1]!ripe([1]!Olekuvorrand($C61,$T62,$Y62,$X62,$W62,K$4,[1]!juhe($T62,6),TRUE),[1]!juhe($T62,6),$C61,0)</f>
        <v>10.251205918025281</v>
      </c>
      <c r="L64" s="120">
        <f ca="1">[1]!ripe([1]!Olekuvorrand($C61,$T62,$Y62,$X62,$W62,L$4,[1]!juhe($T62,6),TRUE),[1]!juhe($T62,6),$C61,0)</f>
        <v>10.464413431516348</v>
      </c>
      <c r="M64" s="120">
        <f ca="1">[1]!ripe([1]!Olekuvorrand($C61,$T62,$Y62,$X62,$W62,M$4,[1]!juhe($T62,6),TRUE),[1]!juhe($T62,6),$C61,0)</f>
        <v>10.67674283630342</v>
      </c>
      <c r="N64" s="120">
        <f ca="1">[1]!ripe([1]!Olekuvorrand($C61,$T62,$Y62,$X62,$W62,N$4,[1]!juhe($T62,6),TRUE),[1]!juhe($T62,6),$C61,0)</f>
        <v>10.888068235966484</v>
      </c>
      <c r="O64" s="190"/>
      <c r="P64" s="221"/>
      <c r="Q64" s="142" t="s">
        <v>206</v>
      </c>
      <c r="R64"/>
      <c r="S64"/>
      <c r="T64"/>
      <c r="U64"/>
      <c r="V64"/>
      <c r="W64"/>
      <c r="X64"/>
      <c r="Y64"/>
      <c r="Z64"/>
    </row>
    <row r="65" spans="1:29" s="114" customFormat="1" x14ac:dyDescent="0.2">
      <c r="A65" s="187"/>
      <c r="B65" s="188"/>
      <c r="C65" s="189"/>
      <c r="D65" s="118" t="s">
        <v>195</v>
      </c>
      <c r="E65" s="120">
        <f ca="1">[1]!ripe([1]!Olekuvorrand($C61,$T62,$Y62,$X62,$W62,E$4,[1]!juhe($T62,6)),[1]!juhe($T62,6),$C61,0)</f>
        <v>9.4562854974450694</v>
      </c>
      <c r="F65" s="120">
        <f ca="1">[1]!ripe([1]!Olekuvorrand($C61,$T62,$Y62,$X62,$W62,F$4,[1]!juhe($T62,6)),[1]!juhe($T62,6),$C61,0)</f>
        <v>9.6911665414113415</v>
      </c>
      <c r="G65" s="120">
        <f ca="1">[1]!ripe([1]!Olekuvorrand($C61,$T62,$Y62,$X62,$W62,G$4,[1]!juhe($T62,6)),[1]!juhe($T62,6),$C61,0)</f>
        <v>9.9246704079689181</v>
      </c>
      <c r="H65" s="120">
        <f ca="1">[1]!ripe([1]!Olekuvorrand($C61,$T62,$Y62,$X62,$W62,H$4,[1]!juhe($T62,6)),[1]!juhe($T62,6),$C61,0)</f>
        <v>10.156606052047124</v>
      </c>
      <c r="I65" s="120">
        <f ca="1">[1]!ripe([1]!Olekuvorrand($C61,$T62,$Y62,$X62,$W62,I$4,[1]!juhe($T62,6)),[1]!juhe($T62,6),$C61,0)</f>
        <v>10.38685787551227</v>
      </c>
      <c r="J65" s="120">
        <f ca="1">[1]!ripe([1]!Olekuvorrand($C61,$T62,$Y62,$X62,$W62,J$4,[1]!juhe($T62,6)),[1]!juhe($T62,6),$C61,0)</f>
        <v>10.615317143990891</v>
      </c>
      <c r="K65" s="120">
        <f ca="1">[1]!ripe([1]!Olekuvorrand($C61,$T62,$Y62,$X62,$W62,K$4,[1]!juhe($T62,6)),[1]!juhe($T62,6),$C61,0)</f>
        <v>10.841874064298782</v>
      </c>
      <c r="L65" s="120">
        <f ca="1">[1]!ripe([1]!Olekuvorrand($C61,$T62,$Y62,$X62,$W62,L$4,[1]!juhe($T62,6)),[1]!juhe($T62,6),$C61,0)</f>
        <v>11.066472257877697</v>
      </c>
      <c r="M65" s="120">
        <f ca="1">[1]!ripe([1]!Olekuvorrand($C61,$T62,$Y62,$X62,$W62,M$4,[1]!juhe($T62,6)),[1]!juhe($T62,6),$C61,0)</f>
        <v>11.28902356605103</v>
      </c>
      <c r="N65" s="120">
        <f ca="1">[1]!ripe([1]!Olekuvorrand($C61,$T62,$Y62,$X62,$W62,N$4,[1]!juhe($T62,6)),[1]!juhe($T62,6),$C61,0)</f>
        <v>11.509553213886187</v>
      </c>
      <c r="O65" s="190"/>
      <c r="P65" s="221"/>
      <c r="Q65" s="142" t="s">
        <v>206</v>
      </c>
      <c r="R65"/>
      <c r="S65"/>
      <c r="T65"/>
      <c r="U65"/>
      <c r="V65"/>
      <c r="W65"/>
      <c r="X65"/>
      <c r="Y65"/>
      <c r="Z65"/>
      <c r="AC65" s="121"/>
    </row>
    <row r="66" spans="1:29" x14ac:dyDescent="0.2">
      <c r="A66" s="105"/>
      <c r="B66" s="113" t="str">
        <f t="shared" ref="B66:B70" ca="1" si="19">INDIRECT("Visangud!C" &amp; R66)</f>
        <v>128Y-129Y</v>
      </c>
      <c r="C66" s="106">
        <f t="shared" ref="C66:C70" ca="1" si="20">INDIRECT("Visangud!"&amp;Q66&amp;R66)</f>
        <v>358.28273639717588</v>
      </c>
      <c r="D66" s="10" t="s">
        <v>31</v>
      </c>
      <c r="E66" s="12">
        <f ca="1">[1]!ripe(E$61,[1]!juhe($T$7,6),$C66,0)</f>
        <v>6.8989443238750709</v>
      </c>
      <c r="F66" s="12">
        <f ca="1">[1]!ripe(F$61,[1]!juhe($T$7,6),$C66,0)</f>
        <v>7.0643408582059397</v>
      </c>
      <c r="G66" s="12">
        <f ca="1">[1]!ripe(G$61,[1]!juhe($T$7,6),$C66,0)</f>
        <v>7.2299345880125552</v>
      </c>
      <c r="H66" s="12">
        <f ca="1">[1]!ripe(H$61,[1]!juhe($T$7,6),$C66,0)</f>
        <v>7.3955268172975108</v>
      </c>
      <c r="I66" s="12">
        <f ca="1">[1]!ripe(I$61,[1]!juhe($T$7,6),$C66,0)</f>
        <v>7.5609569310748324</v>
      </c>
      <c r="J66" s="12">
        <f ca="1">[1]!ripe(J$61,[1]!juhe($T$7,6),$C66,0)</f>
        <v>7.7260847516728379</v>
      </c>
      <c r="K66" s="12">
        <f ca="1">[1]!ripe(K$61,[1]!juhe($T$7,6),$C66,0)</f>
        <v>7.8907523751400879</v>
      </c>
      <c r="L66" s="12">
        <f ca="1">[1]!ripe(L$61,[1]!juhe($T$7,6),$C66,0)</f>
        <v>8.0548665005347537</v>
      </c>
      <c r="M66" s="12">
        <f ca="1">[1]!ripe(M$61,[1]!juhe($T$7,6),$C66,0)</f>
        <v>8.218304711466569</v>
      </c>
      <c r="N66" s="12">
        <f ca="1">[1]!ripe(N$61,[1]!juhe($T$7,6),$C66,0)</f>
        <v>8.3809701005586614</v>
      </c>
      <c r="O66" s="107"/>
      <c r="Q66" s="142" t="s">
        <v>206</v>
      </c>
      <c r="R66">
        <v>40</v>
      </c>
      <c r="S66"/>
      <c r="T66"/>
      <c r="U66"/>
      <c r="V66"/>
      <c r="W66"/>
      <c r="X66"/>
      <c r="Y66"/>
      <c r="Z66"/>
      <c r="AC66" s="11"/>
    </row>
    <row r="67" spans="1:29" x14ac:dyDescent="0.2">
      <c r="A67" s="108"/>
      <c r="B67" s="113" t="str">
        <f t="shared" ca="1" si="19"/>
        <v>129Y-130Y</v>
      </c>
      <c r="C67" s="106">
        <f t="shared" ca="1" si="20"/>
        <v>430.99081475115867</v>
      </c>
      <c r="D67" s="10" t="s">
        <v>31</v>
      </c>
      <c r="E67" s="12">
        <f ca="1">[1]!ripe(E$61,[1]!juhe($T$7,6),$C67,0)</f>
        <v>9.9831340870570742</v>
      </c>
      <c r="F67" s="12">
        <f ca="1">[1]!ripe(F$61,[1]!juhe($T$7,6),$C67,0)</f>
        <v>10.222471542505934</v>
      </c>
      <c r="G67" s="12">
        <f ca="1">[1]!ripe(G$61,[1]!juhe($T$7,6),$C67,0)</f>
        <v>10.462094350145405</v>
      </c>
      <c r="H67" s="12">
        <f ca="1">[1]!ripe(H$61,[1]!juhe($T$7,6),$C67,0)</f>
        <v>10.701714986451377</v>
      </c>
      <c r="I67" s="12">
        <f ca="1">[1]!ripe(I$61,[1]!juhe($T$7,6),$C67,0)</f>
        <v>10.941101033119523</v>
      </c>
      <c r="J67" s="12">
        <f ca="1">[1]!ripe(J$61,[1]!juhe($T$7,6),$C67,0)</f>
        <v>11.180049645710653</v>
      </c>
      <c r="K67" s="12">
        <f ca="1">[1]!ripe(K$61,[1]!juhe($T$7,6),$C67,0)</f>
        <v>11.418332328929528</v>
      </c>
      <c r="L67" s="12">
        <f ca="1">[1]!ripe(L$61,[1]!juhe($T$7,6),$C67,0)</f>
        <v>11.655814071422386</v>
      </c>
      <c r="M67" s="12">
        <f ca="1">[1]!ripe(M$61,[1]!juhe($T$7,6),$C67,0)</f>
        <v>11.892317730255298</v>
      </c>
      <c r="N67" s="12">
        <f ca="1">[1]!ripe(N$61,[1]!juhe($T$7,6),$C67,0)</f>
        <v>12.127703075373947</v>
      </c>
      <c r="O67" s="117"/>
      <c r="Q67" s="142" t="s">
        <v>206</v>
      </c>
      <c r="R67">
        <v>41</v>
      </c>
      <c r="S67"/>
      <c r="T67"/>
      <c r="U67"/>
      <c r="V67"/>
      <c r="W67"/>
      <c r="X67"/>
      <c r="Y67"/>
      <c r="Z67"/>
    </row>
    <row r="68" spans="1:29" x14ac:dyDescent="0.2">
      <c r="A68" s="108"/>
      <c r="B68" s="113" t="str">
        <f t="shared" ca="1" si="19"/>
        <v>130Y-131Y</v>
      </c>
      <c r="C68" s="106">
        <f t="shared" ca="1" si="20"/>
        <v>417.88582567503056</v>
      </c>
      <c r="D68" s="10" t="s">
        <v>31</v>
      </c>
      <c r="E68" s="12">
        <f ca="1">[1]!ripe(E$61,[1]!juhe($T$7,6),$C68,0)</f>
        <v>9.3852567092383037</v>
      </c>
      <c r="F68" s="12">
        <f ca="1">[1]!ripe(F$61,[1]!juhe($T$7,6),$C68,0)</f>
        <v>9.6102605447007186</v>
      </c>
      <c r="G68" s="12">
        <f ca="1">[1]!ripe(G$61,[1]!juhe($T$7,6),$C68,0)</f>
        <v>9.8355326429689924</v>
      </c>
      <c r="H68" s="12">
        <f ca="1">[1]!ripe(H$61,[1]!juhe($T$7,6),$C68,0)</f>
        <v>10.060802699942204</v>
      </c>
      <c r="I68" s="12">
        <f ca="1">[1]!ripe(I$61,[1]!juhe($T$7,6),$C68,0)</f>
        <v>10.285852216556737</v>
      </c>
      <c r="J68" s="12">
        <f ca="1">[1]!ripe(J$61,[1]!juhe($T$7,6),$C68,0)</f>
        <v>10.510490496472418</v>
      </c>
      <c r="K68" s="12">
        <f ca="1">[1]!ripe(K$61,[1]!juhe($T$7,6),$C68,0)</f>
        <v>10.734502728690616</v>
      </c>
      <c r="L68" s="12">
        <f ca="1">[1]!ripe(L$61,[1]!juhe($T$7,6),$C68,0)</f>
        <v>10.957761987518195</v>
      </c>
      <c r="M68" s="12">
        <f ca="1">[1]!ripe(M$61,[1]!juhe($T$7,6),$C68,0)</f>
        <v>11.180101738889332</v>
      </c>
      <c r="N68" s="12">
        <f ca="1">[1]!ripe(N$61,[1]!juhe($T$7,6),$C68,0)</f>
        <v>11.401390150951762</v>
      </c>
      <c r="O68" s="117"/>
      <c r="Q68" s="142" t="s">
        <v>206</v>
      </c>
      <c r="R68">
        <v>42</v>
      </c>
      <c r="S68"/>
      <c r="T68"/>
      <c r="U68"/>
      <c r="V68"/>
      <c r="W68"/>
      <c r="X68"/>
      <c r="Y68"/>
      <c r="Z68"/>
    </row>
    <row r="69" spans="1:29" x14ac:dyDescent="0.2">
      <c r="A69" s="108"/>
      <c r="B69" s="113" t="str">
        <f t="shared" ca="1" si="19"/>
        <v>131Y-132Y</v>
      </c>
      <c r="C69" s="106">
        <f t="shared" ca="1" si="20"/>
        <v>450.42386359941628</v>
      </c>
      <c r="D69" s="10" t="s">
        <v>31</v>
      </c>
      <c r="E69" s="12">
        <f ca="1">[1]!ripe(E$61,[1]!juhe($T$7,6),$C69,0)</f>
        <v>10.903694078546881</v>
      </c>
      <c r="F69" s="12">
        <f ca="1">[1]!ripe(F$61,[1]!juhe($T$7,6),$C69,0)</f>
        <v>11.165101205106021</v>
      </c>
      <c r="G69" s="12">
        <f ca="1">[1]!ripe(G$61,[1]!juhe($T$7,6),$C69,0)</f>
        <v>11.426819996615663</v>
      </c>
      <c r="H69" s="12">
        <f ca="1">[1]!ripe(H$61,[1]!juhe($T$7,6),$C69,0)</f>
        <v>11.688536416569836</v>
      </c>
      <c r="I69" s="12">
        <f ca="1">[1]!ripe(I$61,[1]!juhe($T$7,6),$C69,0)</f>
        <v>11.949996615018566</v>
      </c>
      <c r="J69" s="12">
        <f ca="1">[1]!ripe(J$61,[1]!juhe($T$7,6),$C69,0)</f>
        <v>12.21097904292813</v>
      </c>
      <c r="K69" s="12">
        <f ca="1">[1]!ripe(K$61,[1]!juhe($T$7,6),$C69,0)</f>
        <v>12.471234135104282</v>
      </c>
      <c r="L69" s="12">
        <f ca="1">[1]!ripe(L$61,[1]!juhe($T$7,6),$C69,0)</f>
        <v>12.730614430590796</v>
      </c>
      <c r="M69" s="12">
        <f ca="1">[1]!ripe(M$61,[1]!juhe($T$7,6),$C69,0)</f>
        <v>12.988926451834148</v>
      </c>
      <c r="N69" s="12">
        <f ca="1">[1]!ripe(N$61,[1]!juhe($T$7,6),$C69,0)</f>
        <v>13.246017037953234</v>
      </c>
      <c r="O69" s="117"/>
      <c r="Q69" s="142" t="s">
        <v>206</v>
      </c>
      <c r="R69">
        <v>43</v>
      </c>
      <c r="S69"/>
      <c r="T69"/>
      <c r="U69"/>
      <c r="V69"/>
      <c r="W69"/>
      <c r="X69"/>
      <c r="Y69"/>
      <c r="Z69"/>
    </row>
    <row r="70" spans="1:29" x14ac:dyDescent="0.2">
      <c r="A70" s="108"/>
      <c r="B70" s="113" t="str">
        <f t="shared" ca="1" si="19"/>
        <v>132Y-133Y</v>
      </c>
      <c r="C70" s="106">
        <f t="shared" ca="1" si="20"/>
        <v>357.27048604651083</v>
      </c>
      <c r="D70" s="10" t="s">
        <v>31</v>
      </c>
      <c r="E70" s="12">
        <f ca="1">[1]!ripe(E$61,[1]!juhe($T$7,6),$C70,0)</f>
        <v>6.8600164438702969</v>
      </c>
      <c r="F70" s="12">
        <f ca="1">[1]!ripe(F$61,[1]!juhe($T$7,6),$C70,0)</f>
        <v>7.0244797141915765</v>
      </c>
      <c r="G70" s="12">
        <f ca="1">[1]!ripe(G$61,[1]!juhe($T$7,6),$C70,0)</f>
        <v>7.1891390672963613</v>
      </c>
      <c r="H70" s="12">
        <f ca="1">[1]!ripe(H$61,[1]!juhe($T$7,6),$C70,0)</f>
        <v>7.3537969283463074</v>
      </c>
      <c r="I70" s="12">
        <f ca="1">[1]!ripe(I$61,[1]!juhe($T$7,6),$C70,0)</f>
        <v>7.5182935886391569</v>
      </c>
      <c r="J70" s="12">
        <f ca="1">[1]!ripe(J$61,[1]!juhe($T$7,6),$C70,0)</f>
        <v>7.6824896614676605</v>
      </c>
      <c r="K70" s="12">
        <f ca="1">[1]!ripe(K$61,[1]!juhe($T$7,6),$C70,0)</f>
        <v>7.8462281338668518</v>
      </c>
      <c r="L70" s="12">
        <f ca="1">[1]!ripe(L$61,[1]!juhe($T$7,6),$C70,0)</f>
        <v>8.0094162313534021</v>
      </c>
      <c r="M70" s="12">
        <f ca="1">[1]!ripe(M$61,[1]!juhe($T$7,6),$C70,0)</f>
        <v>8.171932228281932</v>
      </c>
      <c r="N70" s="12">
        <f ca="1">[1]!ripe(N$61,[1]!juhe($T$7,6),$C70,0)</f>
        <v>8.3336797640836906</v>
      </c>
      <c r="O70" s="117"/>
      <c r="Q70" s="142" t="s">
        <v>206</v>
      </c>
      <c r="R70">
        <v>44</v>
      </c>
      <c r="S70"/>
      <c r="T70"/>
      <c r="U70"/>
      <c r="V70"/>
      <c r="W70"/>
      <c r="X70"/>
      <c r="Y70"/>
      <c r="Z70"/>
    </row>
    <row r="71" spans="1:29" s="114" customFormat="1" hidden="1" x14ac:dyDescent="0.2">
      <c r="A71" s="187">
        <v>8</v>
      </c>
      <c r="B71" s="188" t="str">
        <f ca="1">R72</f>
        <v>133Y- 137Y</v>
      </c>
      <c r="C71" s="189">
        <f ca="1">S72</f>
        <v>469.49775693170682</v>
      </c>
      <c r="D71" s="118" t="s">
        <v>130</v>
      </c>
      <c r="E71" s="119">
        <f ca="1">[1]!Olekuvorrand($C71,$T72,$Y72,$X72,$W72,E$4,[1]!juhe($T72,6),TRUE)</f>
        <v>74.628174304962158</v>
      </c>
      <c r="F71" s="119">
        <f ca="1">[1]!Olekuvorrand($C71,$T72,$Y72,$X72,$W72,F$4,[1]!juhe($T72,6),TRUE)</f>
        <v>73.223650455474854</v>
      </c>
      <c r="G71" s="119">
        <f ca="1">[1]!Olekuvorrand($C71,$T72,$Y72,$X72,$W72,G$4,[1]!juhe($T72,6),TRUE)</f>
        <v>71.875393390655518</v>
      </c>
      <c r="H71" s="119">
        <f ca="1">[1]!Olekuvorrand($C71,$T72,$Y72,$X72,$W72,H$4,[1]!juhe($T72,6),TRUE)</f>
        <v>70.580899715423584</v>
      </c>
      <c r="I71" s="119">
        <f ca="1">[1]!Olekuvorrand($C71,$T72,$Y72,$X72,$W72,I$4,[1]!juhe($T72,6),TRUE)</f>
        <v>69.337666034698486</v>
      </c>
      <c r="J71" s="119">
        <f ca="1">[1]!Olekuvorrand($C71,$T72,$Y72,$X72,$W72,J$4,[1]!juhe($T72,6),TRUE)</f>
        <v>68.143069744110107</v>
      </c>
      <c r="K71" s="119">
        <f ca="1">[1]!Olekuvorrand($C71,$T72,$Y72,$X72,$W72,K$4,[1]!juhe($T72,6),TRUE)</f>
        <v>66.994965076446533</v>
      </c>
      <c r="L71" s="119">
        <f ca="1">[1]!Olekuvorrand($C71,$T72,$Y72,$X72,$W72,L$4,[1]!juhe($T72,6),TRUE)</f>
        <v>65.890848636627197</v>
      </c>
      <c r="M71" s="119">
        <f ca="1">[1]!Olekuvorrand($C71,$T72,$Y72,$X72,$W72,M$4,[1]!juhe($T72,6),TRUE)</f>
        <v>64.828693866729736</v>
      </c>
      <c r="N71" s="119">
        <f ca="1">[1]!Olekuvorrand($C71,$T72,$Y72,$X72,$W72,N$4,[1]!juhe($T72,6),TRUE)</f>
        <v>63.806354999542236</v>
      </c>
      <c r="O71" s="190">
        <f ca="1">U72</f>
        <v>65</v>
      </c>
      <c r="P71" s="221"/>
      <c r="Q71" s="142" t="s">
        <v>205</v>
      </c>
      <c r="R71"/>
      <c r="S71"/>
      <c r="T71"/>
      <c r="U71"/>
      <c r="V71"/>
      <c r="W71"/>
      <c r="X71"/>
      <c r="Y71"/>
      <c r="Z71"/>
    </row>
    <row r="72" spans="1:29" s="114" customFormat="1" x14ac:dyDescent="0.2">
      <c r="A72" s="187"/>
      <c r="B72" s="188"/>
      <c r="C72" s="189"/>
      <c r="D72" s="118" t="s">
        <v>32</v>
      </c>
      <c r="E72" s="119">
        <f ca="1">E71*[1]!juhe($T72,2)/10</f>
        <v>3391.8505221605301</v>
      </c>
      <c r="F72" s="119">
        <f ca="1">F71*[1]!juhe($T72,2)/10</f>
        <v>3328.0149132013321</v>
      </c>
      <c r="G72" s="119">
        <f ca="1">G71*[1]!juhe($T72,2)/10</f>
        <v>3266.7366296052933</v>
      </c>
      <c r="H72" s="119">
        <f ca="1">H71*[1]!juhe($T72,2)/10</f>
        <v>3207.9018920660019</v>
      </c>
      <c r="I72" s="119">
        <f ca="1">I71*[1]!juhe($T72,2)/10</f>
        <v>3151.3969212770462</v>
      </c>
      <c r="J72" s="119">
        <f ca="1">J71*[1]!juhe($T72,2)/10</f>
        <v>3097.1025198698044</v>
      </c>
      <c r="K72" s="119">
        <f ca="1">K71*[1]!juhe($T72,2)/10</f>
        <v>3044.9211627244949</v>
      </c>
      <c r="L72" s="119">
        <f ca="1">L71*[1]!juhe($T72,2)/10</f>
        <v>2994.7390705347061</v>
      </c>
      <c r="M72" s="119">
        <f ca="1">M71*[1]!juhe($T72,2)/10</f>
        <v>2946.4641362428665</v>
      </c>
      <c r="N72" s="119">
        <f ca="1">N71*[1]!juhe($T72,2)/10</f>
        <v>2899.9988347291946</v>
      </c>
      <c r="O72" s="190"/>
      <c r="P72" s="221"/>
      <c r="Q72" s="142" t="s">
        <v>207</v>
      </c>
      <c r="R72" s="129" t="str">
        <f ca="1">INDIRECT("'"&amp;$S$1&amp;"'!"&amp;$Q72&amp;R$4)</f>
        <v>133Y- 137Y</v>
      </c>
      <c r="S72" s="129">
        <f ca="1">INDIRECT("'"&amp;$S$1&amp;"'!"&amp;$Q72&amp;S$4)</f>
        <v>469.49775693170682</v>
      </c>
      <c r="T72" s="129" t="str">
        <f ca="1">INDIRECT("'"&amp;$S$1&amp;"'!"&amp;$Q72&amp;T$4)</f>
        <v>402-AL1/52-ST1A</v>
      </c>
      <c r="U72" s="129">
        <f ca="1">INDIRECT("'"&amp;$S$1&amp;"'!"&amp;$Q72&amp;U$4)</f>
        <v>65</v>
      </c>
      <c r="V72" s="129">
        <f ca="1">INDIRECT("'"&amp;$S$1&amp;"'!"&amp;$Q72&amp;V$4)</f>
        <v>5</v>
      </c>
      <c r="W72" s="129">
        <f ca="1">INDIRECT("'"&amp;$S$1&amp;"'!"&amp;$Q72&amp;W$4)</f>
        <v>6.7829898322161894E-2</v>
      </c>
      <c r="X72" s="129">
        <f ca="1">INDIRECT("'"&amp;$S$1&amp;"'!"&amp;$Q72&amp;X$4)</f>
        <v>-5</v>
      </c>
      <c r="Y72" s="129">
        <f ca="1">INDIRECT("'"&amp;$S$1&amp;"'!"&amp;$Q72&amp;Y$4)</f>
        <v>119.47458982467651</v>
      </c>
      <c r="Z72" s="129">
        <v>3</v>
      </c>
    </row>
    <row r="73" spans="1:29" s="114" customFormat="1" x14ac:dyDescent="0.2">
      <c r="A73" s="187"/>
      <c r="B73" s="188"/>
      <c r="C73" s="189"/>
      <c r="D73" s="118" t="str">
        <f>CONCATENATE(Z72,"T, [daN]")</f>
        <v>3T, [daN]</v>
      </c>
      <c r="E73" s="119">
        <f ca="1">E72*$Z72</f>
        <v>10175.55156648159</v>
      </c>
      <c r="F73" s="119">
        <f t="shared" ref="F73:N73" ca="1" si="21">F72*$Z72</f>
        <v>9984.0447396039963</v>
      </c>
      <c r="G73" s="119">
        <f t="shared" ca="1" si="21"/>
        <v>9800.2098888158798</v>
      </c>
      <c r="H73" s="119">
        <f t="shared" ca="1" si="21"/>
        <v>9623.7056761980057</v>
      </c>
      <c r="I73" s="119">
        <f t="shared" ca="1" si="21"/>
        <v>9454.1907638311386</v>
      </c>
      <c r="J73" s="119">
        <f t="shared" ca="1" si="21"/>
        <v>9291.3075596094131</v>
      </c>
      <c r="K73" s="119">
        <f t="shared" ca="1" si="21"/>
        <v>9134.7634881734848</v>
      </c>
      <c r="L73" s="119">
        <f t="shared" ca="1" si="21"/>
        <v>8984.2172116041183</v>
      </c>
      <c r="M73" s="119">
        <f t="shared" ca="1" si="21"/>
        <v>8839.3924087285995</v>
      </c>
      <c r="N73" s="119">
        <f t="shared" ca="1" si="21"/>
        <v>8699.9965041875839</v>
      </c>
      <c r="O73" s="190"/>
      <c r="P73" s="221"/>
      <c r="Q73" s="142" t="s">
        <v>207</v>
      </c>
      <c r="R73"/>
      <c r="S73"/>
      <c r="T73"/>
      <c r="U73"/>
      <c r="V73"/>
      <c r="W73"/>
      <c r="X73"/>
      <c r="Y73"/>
      <c r="Z73"/>
    </row>
    <row r="74" spans="1:29" s="114" customFormat="1" x14ac:dyDescent="0.2">
      <c r="A74" s="187"/>
      <c r="B74" s="188"/>
      <c r="C74" s="189"/>
      <c r="D74" s="118" t="s">
        <v>31</v>
      </c>
      <c r="E74" s="120">
        <f ca="1">[1]!ripe([1]!Olekuvorrand($C71,$T72,$Y72,$X72,$W72,E$4,[1]!juhe($T72,6),TRUE),[1]!juhe($T72,6),$C71,0)</f>
        <v>12.220873059231613</v>
      </c>
      <c r="F74" s="120">
        <f ca="1">[1]!ripe([1]!Olekuvorrand($C71,$T72,$Y72,$X72,$W72,F$4,[1]!juhe($T72,6),TRUE),[1]!juhe($T72,6),$C71,0)</f>
        <v>12.45528513192232</v>
      </c>
      <c r="G74" s="120">
        <f ca="1">[1]!ripe([1]!Olekuvorrand($C71,$T72,$Y72,$X72,$W72,G$4,[1]!juhe($T72,6),TRUE),[1]!juhe($T72,6),$C71,0)</f>
        <v>12.688924565131137</v>
      </c>
      <c r="H74" s="120">
        <f ca="1">[1]!ripe([1]!Olekuvorrand($C71,$T72,$Y72,$X72,$W72,H$4,[1]!juhe($T72,6),TRUE),[1]!juhe($T72,6),$C71,0)</f>
        <v>12.921646628200389</v>
      </c>
      <c r="I74" s="120">
        <f ca="1">[1]!ripe([1]!Olekuvorrand($C71,$T72,$Y72,$X72,$W72,I$4,[1]!juhe($T72,6),TRUE),[1]!juhe($T72,6),$C71,0)</f>
        <v>13.153333490728578</v>
      </c>
      <c r="J74" s="120">
        <f ca="1">[1]!ripe([1]!Olekuvorrand($C71,$T72,$Y72,$X72,$W72,J$4,[1]!juhe($T72,6),TRUE),[1]!juhe($T72,6),$C71,0)</f>
        <v>13.383920745689371</v>
      </c>
      <c r="K74" s="120">
        <f ca="1">[1]!ripe([1]!Olekuvorrand($C71,$T72,$Y72,$X72,$W72,K$4,[1]!juhe($T72,6),TRUE),[1]!juhe($T72,6),$C71,0)</f>
        <v>13.613283383049227</v>
      </c>
      <c r="L74" s="120">
        <f ca="1">[1]!ripe([1]!Olekuvorrand($C71,$T72,$Y72,$X72,$W72,L$4,[1]!juhe($T72,6),TRUE),[1]!juhe($T72,6),$C71,0)</f>
        <v>13.841397761512232</v>
      </c>
      <c r="M74" s="120">
        <f ca="1">[1]!ripe([1]!Olekuvorrand($C71,$T72,$Y72,$X72,$W72,M$4,[1]!juhe($T72,6),TRUE),[1]!juhe($T72,6),$C71,0)</f>
        <v>14.068175531933782</v>
      </c>
      <c r="N74" s="120">
        <f ca="1">[1]!ripe([1]!Olekuvorrand($C71,$T72,$Y72,$X72,$W72,N$4,[1]!juhe($T72,6),TRUE),[1]!juhe($T72,6),$C71,0)</f>
        <v>14.293583214864665</v>
      </c>
      <c r="O74" s="190"/>
      <c r="P74" s="221"/>
      <c r="Q74" s="142" t="s">
        <v>207</v>
      </c>
      <c r="R74"/>
      <c r="S74"/>
      <c r="T74"/>
      <c r="U74"/>
      <c r="V74"/>
      <c r="W74"/>
      <c r="X74"/>
      <c r="Y74"/>
      <c r="Z74"/>
    </row>
    <row r="75" spans="1:29" s="114" customFormat="1" x14ac:dyDescent="0.2">
      <c r="A75" s="187"/>
      <c r="B75" s="188"/>
      <c r="C75" s="189"/>
      <c r="D75" s="118" t="s">
        <v>195</v>
      </c>
      <c r="E75" s="120">
        <f ca="1">[1]!ripe([1]!Olekuvorrand($C71,$T72,$Y72,$X72,$W72,E$4,[1]!juhe($T72,6)),[1]!juhe($T72,6),$C71,0)</f>
        <v>12.808440509745063</v>
      </c>
      <c r="F75" s="120">
        <f ca="1">[1]!ripe([1]!Olekuvorrand($C71,$T72,$Y72,$X72,$W72,F$4,[1]!juhe($T72,6)),[1]!juhe($T72,6),$C71,0)</f>
        <v>13.056985311965436</v>
      </c>
      <c r="G75" s="120">
        <f ca="1">[1]!ripe([1]!Olekuvorrand($C71,$T72,$Y72,$X72,$W72,G$4,[1]!juhe($T72,6)),[1]!juhe($T72,6),$C71,0)</f>
        <v>13.303581496780971</v>
      </c>
      <c r="H75" s="120">
        <f ca="1">[1]!ripe([1]!Olekuvorrand($C71,$T72,$Y72,$X72,$W72,H$4,[1]!juhe($T72,6)),[1]!juhe($T72,6),$C71,0)</f>
        <v>13.548145575924517</v>
      </c>
      <c r="I75" s="120">
        <f ca="1">[1]!ripe([1]!Olekuvorrand($C71,$T72,$Y72,$X72,$W72,I$4,[1]!juhe($T72,6)),[1]!juhe($T72,6),$C71,0)</f>
        <v>13.790649558354838</v>
      </c>
      <c r="J75" s="120">
        <f ca="1">[1]!ripe([1]!Olekuvorrand($C71,$T72,$Y72,$X72,$W72,J$4,[1]!juhe($T72,6)),[1]!juhe($T72,6),$C71,0)</f>
        <v>14.031099665783099</v>
      </c>
      <c r="K75" s="120">
        <f ca="1">[1]!ripe([1]!Olekuvorrand($C71,$T72,$Y72,$X72,$W72,K$4,[1]!juhe($T72,6)),[1]!juhe($T72,6),$C71,0)</f>
        <v>14.269429664535854</v>
      </c>
      <c r="L75" s="120">
        <f ca="1">[1]!ripe([1]!Olekuvorrand($C71,$T72,$Y72,$X72,$W72,L$4,[1]!juhe($T72,6)),[1]!juhe($T72,6),$C71,0)</f>
        <v>14.505675050960399</v>
      </c>
      <c r="M75" s="120">
        <f ca="1">[1]!ripe([1]!Olekuvorrand($C71,$T72,$Y72,$X72,$W72,M$4,[1]!juhe($T72,6)),[1]!juhe($T72,6),$C71,0)</f>
        <v>14.73978652697714</v>
      </c>
      <c r="N75" s="120">
        <f ca="1">[1]!ripe([1]!Olekuvorrand($C71,$T72,$Y72,$X72,$W72,N$4,[1]!juhe($T72,6)),[1]!juhe($T72,6),$C71,0)</f>
        <v>14.971815800632015</v>
      </c>
      <c r="O75" s="190"/>
      <c r="P75" s="221"/>
      <c r="Q75" s="142" t="s">
        <v>207</v>
      </c>
      <c r="R75"/>
      <c r="S75"/>
      <c r="T75"/>
      <c r="U75"/>
      <c r="V75"/>
      <c r="W75"/>
      <c r="X75"/>
      <c r="Y75"/>
      <c r="Z75"/>
      <c r="AC75" s="121"/>
    </row>
    <row r="76" spans="1:29" x14ac:dyDescent="0.2">
      <c r="A76" s="105"/>
      <c r="B76" s="113" t="str">
        <f t="shared" ref="B76:B79" ca="1" si="22">INDIRECT("Visangud!C" &amp; R76)</f>
        <v>133Y-134Y</v>
      </c>
      <c r="C76" s="106">
        <f t="shared" ref="C76:C79" ca="1" si="23">INDIRECT("Visangud!"&amp;Q76&amp;R76)</f>
        <v>474.33886125844168</v>
      </c>
      <c r="D76" s="10" t="s">
        <v>31</v>
      </c>
      <c r="E76" s="12">
        <f ca="1">[1]!ripe(E$71,[1]!juhe($T$7,6),$C76,0)</f>
        <v>12.474197127607685</v>
      </c>
      <c r="F76" s="12">
        <f ca="1">[1]!ripe(F$71,[1]!juhe($T$7,6),$C76,0)</f>
        <v>12.713468281940321</v>
      </c>
      <c r="G76" s="12">
        <f ca="1">[1]!ripe(G$71,[1]!juhe($T$7,6),$C76,0)</f>
        <v>12.951950780899571</v>
      </c>
      <c r="H76" s="12">
        <f ca="1">[1]!ripe(H$71,[1]!juhe($T$7,6),$C76,0)</f>
        <v>13.189496893734484</v>
      </c>
      <c r="I76" s="12">
        <f ca="1">[1]!ripe(I$71,[1]!juhe($T$7,6),$C76,0)</f>
        <v>13.425986347560404</v>
      </c>
      <c r="J76" s="12">
        <f ca="1">[1]!ripe(J$71,[1]!juhe($T$7,6),$C76,0)</f>
        <v>13.661353400270443</v>
      </c>
      <c r="K76" s="12">
        <f ca="1">[1]!ripe(K$71,[1]!juhe($T$7,6),$C76,0)</f>
        <v>13.895470450522723</v>
      </c>
      <c r="L76" s="12">
        <f ca="1">[1]!ripe(L$71,[1]!juhe($T$7,6),$C76,0)</f>
        <v>14.128313366965561</v>
      </c>
      <c r="M76" s="12">
        <f ca="1">[1]!ripe(M$71,[1]!juhe($T$7,6),$C76,0)</f>
        <v>14.359791969082361</v>
      </c>
      <c r="N76" s="12">
        <f ca="1">[1]!ripe(N$71,[1]!juhe($T$7,6),$C76,0)</f>
        <v>14.589872083435001</v>
      </c>
      <c r="O76" s="107"/>
      <c r="Q76" s="142" t="s">
        <v>207</v>
      </c>
      <c r="R76">
        <v>45</v>
      </c>
      <c r="S76"/>
      <c r="T76"/>
      <c r="U76"/>
      <c r="V76"/>
      <c r="W76"/>
      <c r="X76"/>
      <c r="Y76"/>
      <c r="Z76"/>
      <c r="AC76" s="11"/>
    </row>
    <row r="77" spans="1:29" x14ac:dyDescent="0.2">
      <c r="A77" s="108"/>
      <c r="B77" s="113" t="str">
        <f t="shared" ca="1" si="22"/>
        <v>134Y-135Y</v>
      </c>
      <c r="C77" s="106">
        <f t="shared" ca="1" si="23"/>
        <v>492.19301752466902</v>
      </c>
      <c r="D77" s="10" t="s">
        <v>31</v>
      </c>
      <c r="E77" s="12">
        <f ca="1">[1]!ripe(E$71,[1]!juhe($T$7,6),$C77,0)</f>
        <v>13.430930017100332</v>
      </c>
      <c r="F77" s="12">
        <f ca="1">[1]!ripe(F$71,[1]!juhe($T$7,6),$C77,0)</f>
        <v>13.688552539502203</v>
      </c>
      <c r="G77" s="12">
        <f ca="1">[1]!ripe(G$71,[1]!juhe($T$7,6),$C77,0)</f>
        <v>13.945325919067926</v>
      </c>
      <c r="H77" s="12">
        <f ca="1">[1]!ripe(H$71,[1]!juhe($T$7,6),$C77,0)</f>
        <v>14.201091094548348</v>
      </c>
      <c r="I77" s="12">
        <f ca="1">[1]!ripe(I$71,[1]!juhe($T$7,6),$C77,0)</f>
        <v>14.455718568495231</v>
      </c>
      <c r="J77" s="12">
        <f ca="1">[1]!ripe(J$71,[1]!juhe($T$7,6),$C77,0)</f>
        <v>14.709137556582519</v>
      </c>
      <c r="K77" s="12">
        <f ca="1">[1]!ripe(K$71,[1]!juhe($T$7,6),$C77,0)</f>
        <v>14.961210670834431</v>
      </c>
      <c r="L77" s="12">
        <f ca="1">[1]!ripe(L$71,[1]!juhe($T$7,6),$C77,0)</f>
        <v>15.211911929098182</v>
      </c>
      <c r="M77" s="12">
        <f ca="1">[1]!ripe(M$71,[1]!juhe($T$7,6),$C77,0)</f>
        <v>15.461144234286483</v>
      </c>
      <c r="N77" s="12">
        <f ca="1">[1]!ripe(N$71,[1]!juhe($T$7,6),$C77,0)</f>
        <v>15.708870791962696</v>
      </c>
      <c r="O77" s="117"/>
      <c r="Q77" s="142" t="s">
        <v>207</v>
      </c>
      <c r="R77">
        <v>46</v>
      </c>
      <c r="S77"/>
      <c r="T77"/>
      <c r="U77"/>
      <c r="V77"/>
      <c r="W77"/>
      <c r="X77"/>
      <c r="Y77"/>
      <c r="Z77"/>
    </row>
    <row r="78" spans="1:29" x14ac:dyDescent="0.2">
      <c r="A78" s="108"/>
      <c r="B78" s="113" t="str">
        <f t="shared" ca="1" si="22"/>
        <v>135Y-136Y</v>
      </c>
      <c r="C78" s="106">
        <f t="shared" ca="1" si="23"/>
        <v>492.2440911783234</v>
      </c>
      <c r="D78" s="10" t="s">
        <v>31</v>
      </c>
      <c r="E78" s="12">
        <f ca="1">[1]!ripe(E$71,[1]!juhe($T$7,6),$C78,0)</f>
        <v>13.433717550584381</v>
      </c>
      <c r="F78" s="12">
        <f ca="1">[1]!ripe(F$71,[1]!juhe($T$7,6),$C78,0)</f>
        <v>13.691393541465837</v>
      </c>
      <c r="G78" s="12">
        <f ca="1">[1]!ripe(G$71,[1]!juhe($T$7,6),$C78,0)</f>
        <v>13.948220213275095</v>
      </c>
      <c r="H78" s="12">
        <f ca="1">[1]!ripe(H$71,[1]!juhe($T$7,6),$C78,0)</f>
        <v>14.204038471750499</v>
      </c>
      <c r="I78" s="12">
        <f ca="1">[1]!ripe(I$71,[1]!juhe($T$7,6),$C78,0)</f>
        <v>14.458718792567158</v>
      </c>
      <c r="J78" s="12">
        <f ca="1">[1]!ripe(J$71,[1]!juhe($T$7,6),$C78,0)</f>
        <v>14.712190376708024</v>
      </c>
      <c r="K78" s="12">
        <f ca="1">[1]!ripe(K$71,[1]!juhe($T$7,6),$C78,0)</f>
        <v>14.964315807683017</v>
      </c>
      <c r="L78" s="12">
        <f ca="1">[1]!ripe(L$71,[1]!juhe($T$7,6),$C78,0)</f>
        <v>15.215069097946861</v>
      </c>
      <c r="M78" s="12">
        <f ca="1">[1]!ripe(M$71,[1]!juhe($T$7,6),$C78,0)</f>
        <v>15.464353130260173</v>
      </c>
      <c r="N78" s="12">
        <f ca="1">[1]!ripe(N$71,[1]!juhe($T$7,6),$C78,0)</f>
        <v>15.712131102549783</v>
      </c>
      <c r="O78" s="117"/>
      <c r="Q78" s="142" t="s">
        <v>207</v>
      </c>
      <c r="R78">
        <v>47</v>
      </c>
      <c r="S78"/>
      <c r="T78"/>
      <c r="U78"/>
      <c r="V78"/>
      <c r="W78"/>
      <c r="X78"/>
      <c r="Y78"/>
      <c r="Z78"/>
    </row>
    <row r="79" spans="1:29" x14ac:dyDescent="0.2">
      <c r="A79" s="108"/>
      <c r="B79" s="113" t="str">
        <f t="shared" ca="1" si="22"/>
        <v>136Y-137Y</v>
      </c>
      <c r="C79" s="106">
        <f t="shared" ca="1" si="23"/>
        <v>401.88288007822365</v>
      </c>
      <c r="D79" s="10" t="s">
        <v>31</v>
      </c>
      <c r="E79" s="12">
        <f ca="1">[1]!ripe(E$71,[1]!juhe($T$7,6),$C79,0)</f>
        <v>8.9543527990900369</v>
      </c>
      <c r="F79" s="12">
        <f ca="1">[1]!ripe(F$71,[1]!juhe($T$7,6),$C79,0)</f>
        <v>9.1261088094065794</v>
      </c>
      <c r="G79" s="12">
        <f ca="1">[1]!ripe(G$71,[1]!juhe($T$7,6),$C79,0)</f>
        <v>9.2972986992443438</v>
      </c>
      <c r="H79" s="12">
        <f ca="1">[1]!ripe(H$71,[1]!juhe($T$7,6),$C79,0)</f>
        <v>9.4678164230398654</v>
      </c>
      <c r="I79" s="12">
        <f ca="1">[1]!ripe(I$71,[1]!juhe($T$7,6),$C79,0)</f>
        <v>9.6375756453095462</v>
      </c>
      <c r="J79" s="12">
        <f ca="1">[1]!ripe(J$71,[1]!juhe($T$7,6),$C79,0)</f>
        <v>9.8065291743974665</v>
      </c>
      <c r="K79" s="12">
        <f ca="1">[1]!ripe(K$71,[1]!juhe($T$7,6),$C79,0)</f>
        <v>9.9745854142336619</v>
      </c>
      <c r="L79" s="12">
        <f ca="1">[1]!ripe(L$71,[1]!juhe($T$7,6),$C79,0)</f>
        <v>10.141727042610194</v>
      </c>
      <c r="M79" s="12">
        <f ca="1">[1]!ripe(M$71,[1]!juhe($T$7,6),$C79,0)</f>
        <v>10.307889325247741</v>
      </c>
      <c r="N79" s="12">
        <f ca="1">[1]!ripe(N$71,[1]!juhe($T$7,6),$C79,0)</f>
        <v>10.473047731427556</v>
      </c>
      <c r="O79" s="117"/>
      <c r="Q79" s="142" t="s">
        <v>207</v>
      </c>
      <c r="R79">
        <v>48</v>
      </c>
      <c r="S79"/>
      <c r="T79"/>
      <c r="U79"/>
      <c r="V79"/>
      <c r="W79"/>
      <c r="X79"/>
      <c r="Y79"/>
      <c r="Z79"/>
    </row>
    <row r="80" spans="1:29" s="114" customFormat="1" hidden="1" x14ac:dyDescent="0.2">
      <c r="A80" s="187">
        <v>9</v>
      </c>
      <c r="B80" s="188" t="str">
        <f ca="1">R81</f>
        <v>137Y- 144Y</v>
      </c>
      <c r="C80" s="189">
        <f ca="1">S81</f>
        <v>408.56484089595034</v>
      </c>
      <c r="D80" s="118" t="s">
        <v>130</v>
      </c>
      <c r="E80" s="119">
        <f ca="1">[1]!Olekuvorrand($C80,$T81,$Y81,$X81,$W81,E$4,[1]!juhe($T81,6),TRUE)</f>
        <v>76.976597309112549</v>
      </c>
      <c r="F80" s="119">
        <f ca="1">[1]!Olekuvorrand($C80,$T81,$Y81,$X81,$W81,F$4,[1]!juhe($T81,6),TRUE)</f>
        <v>75.175583362579346</v>
      </c>
      <c r="G80" s="119">
        <f ca="1">[1]!Olekuvorrand($C80,$T81,$Y81,$X81,$W81,G$4,[1]!juhe($T81,6),TRUE)</f>
        <v>73.45503568649292</v>
      </c>
      <c r="H80" s="119">
        <f ca="1">[1]!Olekuvorrand($C80,$T81,$Y81,$X81,$W81,H$4,[1]!juhe($T81,6),TRUE)</f>
        <v>71.811497211456299</v>
      </c>
      <c r="I80" s="119">
        <f ca="1">[1]!Olekuvorrand($C80,$T81,$Y81,$X81,$W81,I$4,[1]!juhe($T81,6),TRUE)</f>
        <v>70.241391658782959</v>
      </c>
      <c r="J80" s="119">
        <f ca="1">[1]!Olekuvorrand($C80,$T81,$Y81,$X81,$W81,J$4,[1]!juhe($T81,6),TRUE)</f>
        <v>68.741261959075928</v>
      </c>
      <c r="K80" s="119">
        <f ca="1">[1]!Olekuvorrand($C80,$T81,$Y81,$X81,$W81,K$4,[1]!juhe($T81,6),TRUE)</f>
        <v>67.307651042938232</v>
      </c>
      <c r="L80" s="119">
        <f ca="1">[1]!Olekuvorrand($C80,$T81,$Y81,$X81,$W81,L$4,[1]!juhe($T81,6),TRUE)</f>
        <v>65.937340259552002</v>
      </c>
      <c r="M80" s="119">
        <f ca="1">[1]!Olekuvorrand($C80,$T81,$Y81,$X81,$W81,M$4,[1]!juhe($T81,6),TRUE)</f>
        <v>64.626872539520264</v>
      </c>
      <c r="N80" s="119">
        <f ca="1">[1]!Olekuvorrand($C80,$T81,$Y81,$X81,$W81,N$4,[1]!juhe($T81,6),TRUE)</f>
        <v>63.373386859893799</v>
      </c>
      <c r="O80" s="190">
        <f ca="1">U81</f>
        <v>65</v>
      </c>
      <c r="P80" s="221"/>
      <c r="Q80" s="142" t="s">
        <v>205</v>
      </c>
      <c r="R80"/>
      <c r="S80"/>
      <c r="T80"/>
      <c r="U80"/>
      <c r="V80"/>
      <c r="W80"/>
      <c r="X80"/>
      <c r="Y80"/>
      <c r="Z80"/>
    </row>
    <row r="81" spans="1:29" s="114" customFormat="1" x14ac:dyDescent="0.2">
      <c r="A81" s="187"/>
      <c r="B81" s="188"/>
      <c r="C81" s="189"/>
      <c r="D81" s="118" t="s">
        <v>32</v>
      </c>
      <c r="E81" s="119">
        <f ca="1">E80*[1]!juhe($T81,2)/10</f>
        <v>3498.5863476991653</v>
      </c>
      <c r="F81" s="119">
        <f ca="1">F80*[1]!juhe($T81,2)/10</f>
        <v>3416.7302638292313</v>
      </c>
      <c r="G81" s="119">
        <f ca="1">G80*[1]!juhe($T81,2)/10</f>
        <v>3338.5313719511032</v>
      </c>
      <c r="H81" s="119">
        <f ca="1">H80*[1]!juhe($T81,2)/10</f>
        <v>3263.8325482606888</v>
      </c>
      <c r="I81" s="119">
        <f ca="1">I80*[1]!juhe($T81,2)/10</f>
        <v>3192.4712508916855</v>
      </c>
      <c r="J81" s="119">
        <f ca="1">J80*[1]!juhe($T81,2)/10</f>
        <v>3124.2903560400009</v>
      </c>
      <c r="K81" s="119">
        <f ca="1">K80*[1]!juhe($T81,2)/10</f>
        <v>3059.1327399015427</v>
      </c>
      <c r="L81" s="119">
        <f ca="1">L80*[1]!juhe($T81,2)/10</f>
        <v>2996.8521147966385</v>
      </c>
      <c r="M81" s="119">
        <f ca="1">M80*[1]!juhe($T81,2)/10</f>
        <v>2937.291356921196</v>
      </c>
      <c r="N81" s="119">
        <f ca="1">N80*[1]!juhe($T81,2)/10</f>
        <v>2880.3204327821732</v>
      </c>
      <c r="O81" s="190"/>
      <c r="P81" s="221"/>
      <c r="Q81" s="142" t="s">
        <v>208</v>
      </c>
      <c r="R81" s="129" t="str">
        <f ca="1">INDIRECT("'"&amp;$S$1&amp;"'!"&amp;$Q81&amp;R$4)</f>
        <v>137Y- 144Y</v>
      </c>
      <c r="S81" s="129">
        <f ca="1">INDIRECT("'"&amp;$S$1&amp;"'!"&amp;$Q81&amp;S$4)</f>
        <v>408.56484089595034</v>
      </c>
      <c r="T81" s="129" t="str">
        <f ca="1">INDIRECT("'"&amp;$S$1&amp;"'!"&amp;$Q81&amp;T$4)</f>
        <v>402-AL1/52-ST1A</v>
      </c>
      <c r="U81" s="129">
        <f ca="1">INDIRECT("'"&amp;$S$1&amp;"'!"&amp;$Q81&amp;U$4)</f>
        <v>65</v>
      </c>
      <c r="V81" s="129">
        <f ca="1">INDIRECT("'"&amp;$S$1&amp;"'!"&amp;$Q81&amp;V$4)</f>
        <v>5</v>
      </c>
      <c r="W81" s="129">
        <f ca="1">INDIRECT("'"&amp;$S$1&amp;"'!"&amp;$Q81&amp;W$4)</f>
        <v>6.8020525856278907E-2</v>
      </c>
      <c r="X81" s="129">
        <f ca="1">INDIRECT("'"&amp;$S$1&amp;"'!"&amp;$Q81&amp;X$4)</f>
        <v>-5</v>
      </c>
      <c r="Y81" s="129">
        <f ca="1">INDIRECT("'"&amp;$S$1&amp;"'!"&amp;$Q81&amp;Y$4)</f>
        <v>117.06680059432983</v>
      </c>
      <c r="Z81" s="129">
        <v>3</v>
      </c>
    </row>
    <row r="82" spans="1:29" s="114" customFormat="1" x14ac:dyDescent="0.2">
      <c r="A82" s="187"/>
      <c r="B82" s="188"/>
      <c r="C82" s="189"/>
      <c r="D82" s="118" t="str">
        <f>CONCATENATE(Z81,"T, [daN]")</f>
        <v>3T, [daN]</v>
      </c>
      <c r="E82" s="119">
        <f ca="1">E81*$Z81</f>
        <v>10495.759043097496</v>
      </c>
      <c r="F82" s="119">
        <f t="shared" ref="F82:N82" ca="1" si="24">F81*$Z81</f>
        <v>10250.190791487694</v>
      </c>
      <c r="G82" s="119">
        <f t="shared" ca="1" si="24"/>
        <v>10015.59411585331</v>
      </c>
      <c r="H82" s="119">
        <f t="shared" ca="1" si="24"/>
        <v>9791.4976447820663</v>
      </c>
      <c r="I82" s="119">
        <f t="shared" ca="1" si="24"/>
        <v>9577.4137526750565</v>
      </c>
      <c r="J82" s="119">
        <f t="shared" ca="1" si="24"/>
        <v>9372.8710681200027</v>
      </c>
      <c r="K82" s="119">
        <f t="shared" ca="1" si="24"/>
        <v>9177.398219704628</v>
      </c>
      <c r="L82" s="119">
        <f t="shared" ca="1" si="24"/>
        <v>8990.5563443899155</v>
      </c>
      <c r="M82" s="119">
        <f t="shared" ca="1" si="24"/>
        <v>8811.874070763588</v>
      </c>
      <c r="N82" s="119">
        <f t="shared" ca="1" si="24"/>
        <v>8640.9612983465195</v>
      </c>
      <c r="O82" s="190"/>
      <c r="P82" s="221"/>
      <c r="Q82" s="142" t="s">
        <v>208</v>
      </c>
      <c r="R82"/>
      <c r="S82"/>
      <c r="T82"/>
      <c r="U82"/>
      <c r="V82"/>
      <c r="W82"/>
      <c r="X82"/>
      <c r="Y82"/>
      <c r="Z82"/>
    </row>
    <row r="83" spans="1:29" s="114" customFormat="1" x14ac:dyDescent="0.2">
      <c r="A83" s="187"/>
      <c r="B83" s="188"/>
      <c r="C83" s="189"/>
      <c r="D83" s="118" t="s">
        <v>31</v>
      </c>
      <c r="E83" s="120">
        <f ca="1">[1]!ripe([1]!Olekuvorrand($C80,$T81,$Y81,$X81,$W81,E$4,[1]!juhe($T81,6),TRUE),[1]!juhe($T81,6),$C80,0)</f>
        <v>8.972248190045919</v>
      </c>
      <c r="F83" s="120">
        <f ca="1">[1]!ripe([1]!Olekuvorrand($C80,$T81,$Y81,$X81,$W81,F$4,[1]!juhe($T81,6),TRUE),[1]!juhe($T81,6),$C80,0)</f>
        <v>9.1872002183407027</v>
      </c>
      <c r="G83" s="120">
        <f ca="1">[1]!ripe([1]!Olekuvorrand($C80,$T81,$Y81,$X81,$W81,G$4,[1]!juhe($T81,6),TRUE),[1]!juhe($T81,6),$C80,0)</f>
        <v>9.4023933067066441</v>
      </c>
      <c r="H83" s="120">
        <f ca="1">[1]!ripe([1]!Olekuvorrand($C80,$T81,$Y81,$X81,$W81,H$4,[1]!juhe($T81,6),TRUE),[1]!juhe($T81,6),$C80,0)</f>
        <v>9.6175844078125809</v>
      </c>
      <c r="I83" s="120">
        <f ca="1">[1]!ripe([1]!Olekuvorrand($C80,$T81,$Y81,$X81,$W81,I$4,[1]!juhe($T81,6),TRUE),[1]!juhe($T81,6),$C80,0)</f>
        <v>9.8325662344165643</v>
      </c>
      <c r="J83" s="120">
        <f ca="1">[1]!ripe([1]!Olekuvorrand($C80,$T81,$Y81,$X81,$W81,J$4,[1]!juhe($T81,6),TRUE),[1]!juhe($T81,6),$C80,0)</f>
        <v>10.047140773961186</v>
      </c>
      <c r="K83" s="120">
        <f ca="1">[1]!ripe([1]!Olekuvorrand($C80,$T81,$Y81,$X81,$W81,K$4,[1]!juhe($T81,6),TRUE),[1]!juhe($T81,6),$C80,0)</f>
        <v>10.261138595402528</v>
      </c>
      <c r="L83" s="120">
        <f ca="1">[1]!ripe([1]!Olekuvorrand($C80,$T81,$Y81,$X81,$W81,L$4,[1]!juhe($T81,6),TRUE),[1]!juhe($T81,6),$C80,0)</f>
        <v>10.474385729905558</v>
      </c>
      <c r="M83" s="120">
        <f ca="1">[1]!ripe([1]!Olekuvorrand($C80,$T81,$Y81,$X81,$W81,M$4,[1]!juhe($T81,6),TRUE),[1]!juhe($T81,6),$C80,0)</f>
        <v>10.686779488830043</v>
      </c>
      <c r="N83" s="120">
        <f ca="1">[1]!ripe([1]!Olekuvorrand($C80,$T81,$Y81,$X81,$W81,N$4,[1]!juhe($T81,6),TRUE),[1]!juhe($T81,6),$C80,0)</f>
        <v>10.898157256601705</v>
      </c>
      <c r="O83" s="190"/>
      <c r="P83" s="221"/>
      <c r="Q83" s="142" t="s">
        <v>208</v>
      </c>
      <c r="R83"/>
      <c r="S83"/>
      <c r="T83"/>
      <c r="U83"/>
      <c r="V83"/>
      <c r="W83"/>
      <c r="X83"/>
      <c r="Y83"/>
      <c r="Z83"/>
    </row>
    <row r="84" spans="1:29" s="114" customFormat="1" x14ac:dyDescent="0.2">
      <c r="A84" s="187"/>
      <c r="B84" s="188"/>
      <c r="C84" s="189"/>
      <c r="D84" s="118" t="s">
        <v>195</v>
      </c>
      <c r="E84" s="120">
        <f ca="1">[1]!ripe([1]!Olekuvorrand($C80,$T81,$Y81,$X81,$W81,E$4,[1]!juhe($T81,6)),[1]!juhe($T81,6),$C80,0)</f>
        <v>9.4661631344142965</v>
      </c>
      <c r="F84" s="120">
        <f ca="1">[1]!ripe([1]!Olekuvorrand($C80,$T81,$Y81,$X81,$W81,F$4,[1]!juhe($T81,6)),[1]!juhe($T81,6),$C80,0)</f>
        <v>9.7011003970775675</v>
      </c>
      <c r="G84" s="120">
        <f ca="1">[1]!ripe([1]!Olekuvorrand($C80,$T81,$Y81,$X81,$W81,G$4,[1]!juhe($T81,6)),[1]!juhe($T81,6),$C80,0)</f>
        <v>9.9346393841450045</v>
      </c>
      <c r="H84" s="120">
        <f ca="1">[1]!ripe([1]!Olekuvorrand($C80,$T81,$Y81,$X81,$W81,H$4,[1]!juhe($T81,6)),[1]!juhe($T81,6),$C80,0)</f>
        <v>10.166641814410044</v>
      </c>
      <c r="I84" s="120">
        <f ca="1">[1]!ripe([1]!Olekuvorrand($C80,$T81,$Y81,$X81,$W81,I$4,[1]!juhe($T81,6)),[1]!juhe($T81,6),$C80,0)</f>
        <v>10.396942840665755</v>
      </c>
      <c r="J84" s="120">
        <f ca="1">[1]!ripe([1]!Olekuvorrand($C80,$T81,$Y81,$X81,$W81,J$4,[1]!juhe($T81,6)),[1]!juhe($T81,6),$C80,0)</f>
        <v>10.625433249470548</v>
      </c>
      <c r="K84" s="120">
        <f ca="1">[1]!ripe([1]!Olekuvorrand($C80,$T81,$Y81,$X81,$W81,K$4,[1]!juhe($T81,6)),[1]!juhe($T81,6),$C80,0)</f>
        <v>10.852043453907502</v>
      </c>
      <c r="L84" s="120">
        <f ca="1">[1]!ripe([1]!Olekuvorrand($C80,$T81,$Y81,$X81,$W81,L$4,[1]!juhe($T81,6)),[1]!juhe($T81,6),$C80,0)</f>
        <v>11.076658278434916</v>
      </c>
      <c r="M84" s="120">
        <f ca="1">[1]!ripe([1]!Olekuvorrand($C80,$T81,$Y81,$X81,$W81,M$4,[1]!juhe($T81,6)),[1]!juhe($T81,6),$C80,0)</f>
        <v>11.299274822917326</v>
      </c>
      <c r="N84" s="120">
        <f ca="1">[1]!ripe([1]!Olekuvorrand($C80,$T81,$Y81,$X81,$W81,N$4,[1]!juhe($T81,6)),[1]!juhe($T81,6),$C80,0)</f>
        <v>11.519834291340738</v>
      </c>
      <c r="O84" s="190"/>
      <c r="P84" s="221"/>
      <c r="Q84" s="142" t="s">
        <v>208</v>
      </c>
      <c r="R84"/>
      <c r="S84"/>
      <c r="T84"/>
      <c r="U84"/>
      <c r="V84"/>
      <c r="W84"/>
      <c r="X84"/>
      <c r="Y84"/>
      <c r="Z84"/>
      <c r="AC84" s="121"/>
    </row>
    <row r="85" spans="1:29" ht="14.25" customHeight="1" x14ac:dyDescent="0.2">
      <c r="A85" s="105"/>
      <c r="B85" s="113" t="str">
        <f t="shared" ref="B85:B91" ca="1" si="25">INDIRECT("Visangud!C" &amp; R85)</f>
        <v>137Y-138Y</v>
      </c>
      <c r="C85" s="106">
        <f t="shared" ref="C85:C91" ca="1" si="26">INDIRECT("Visangud!"&amp;Q85&amp;R85)</f>
        <v>337.62544054022163</v>
      </c>
      <c r="D85" s="10" t="s">
        <v>31</v>
      </c>
      <c r="E85" s="12">
        <f ca="1">[1]!ripe(E$80,[1]!juhe($T$7,6),$C85,0)</f>
        <v>6.1270246136591595</v>
      </c>
      <c r="F85" s="12">
        <f ca="1">[1]!ripe(F$80,[1]!juhe($T$7,6),$C85,0)</f>
        <v>6.2738123908384882</v>
      </c>
      <c r="G85" s="12">
        <f ca="1">[1]!ripe(G$80,[1]!juhe($T$7,6),$C85,0)</f>
        <v>6.4207647846175888</v>
      </c>
      <c r="H85" s="12">
        <f ca="1">[1]!ripe(H$80,[1]!juhe($T$7,6),$C85,0)</f>
        <v>6.5677158213242253</v>
      </c>
      <c r="I85" s="12">
        <f ca="1">[1]!ripe(I$80,[1]!juhe($T$7,6),$C85,0)</f>
        <v>6.7145239473581615</v>
      </c>
      <c r="J85" s="12">
        <f ca="1">[1]!ripe(J$80,[1]!juhe($T$7,6),$C85,0)</f>
        <v>6.8610539426733874</v>
      </c>
      <c r="K85" s="12">
        <f ca="1">[1]!ripe(K$80,[1]!juhe($T$7,6),$C85,0)</f>
        <v>7.0071901051454857</v>
      </c>
      <c r="L85" s="12">
        <f ca="1">[1]!ripe(L$80,[1]!juhe($T$7,6),$C85,0)</f>
        <v>7.1528136338550343</v>
      </c>
      <c r="M85" s="12">
        <f ca="1">[1]!ripe(M$80,[1]!juhe($T$7,6),$C85,0)</f>
        <v>7.2978544041451006</v>
      </c>
      <c r="N85" s="12">
        <f ca="1">[1]!ripe(N$80,[1]!juhe($T$7,6),$C85,0)</f>
        <v>7.4422013680815349</v>
      </c>
      <c r="O85" s="107"/>
      <c r="Q85" s="142" t="s">
        <v>208</v>
      </c>
      <c r="R85">
        <v>49</v>
      </c>
      <c r="S85"/>
      <c r="T85"/>
      <c r="U85"/>
      <c r="V85"/>
      <c r="W85"/>
      <c r="X85"/>
      <c r="Y85"/>
      <c r="Z85"/>
      <c r="AC85" s="11"/>
    </row>
    <row r="86" spans="1:29" ht="14.25" customHeight="1" x14ac:dyDescent="0.2">
      <c r="A86" s="153"/>
      <c r="B86" s="113" t="str">
        <f t="shared" ca="1" si="25"/>
        <v>138Y-139Y</v>
      </c>
      <c r="C86" s="106">
        <f t="shared" ca="1" si="26"/>
        <v>430.12785820032502</v>
      </c>
      <c r="D86" s="10" t="s">
        <v>31</v>
      </c>
      <c r="E86" s="12">
        <f ca="1">[1]!ripe(E$80,[1]!juhe($T$7,6),$C86,0)</f>
        <v>9.9443050984195338</v>
      </c>
      <c r="F86" s="12">
        <f ca="1">[1]!ripe(F$80,[1]!juhe($T$7,6),$C86,0)</f>
        <v>10.182545114256245</v>
      </c>
      <c r="G86" s="12">
        <f ca="1">[1]!ripe(G$80,[1]!juhe($T$7,6),$C86,0)</f>
        <v>10.421052306707317</v>
      </c>
      <c r="H86" s="12">
        <f ca="1">[1]!ripe(H$80,[1]!juhe($T$7,6),$C86,0)</f>
        <v>10.659557296597853</v>
      </c>
      <c r="I86" s="12">
        <f ca="1">[1]!ripe(I$80,[1]!juhe($T$7,6),$C86,0)</f>
        <v>10.897830339104338</v>
      </c>
      <c r="J86" s="12">
        <f ca="1">[1]!ripe(J$80,[1]!juhe($T$7,6),$C86,0)</f>
        <v>11.135651968910777</v>
      </c>
      <c r="K86" s="12">
        <f ca="1">[1]!ripe(K$80,[1]!juhe($T$7,6),$C86,0)</f>
        <v>11.37283439874712</v>
      </c>
      <c r="L86" s="12">
        <f ca="1">[1]!ripe(L$80,[1]!juhe($T$7,6),$C86,0)</f>
        <v>11.609184811926113</v>
      </c>
      <c r="M86" s="12">
        <f ca="1">[1]!ripe(M$80,[1]!juhe($T$7,6),$C86,0)</f>
        <v>11.844589394479735</v>
      </c>
      <c r="N86" s="12">
        <f ca="1">[1]!ripe(N$80,[1]!juhe($T$7,6),$C86,0)</f>
        <v>12.078867912998238</v>
      </c>
      <c r="O86" s="154"/>
      <c r="Q86" s="142" t="s">
        <v>208</v>
      </c>
      <c r="R86">
        <v>50</v>
      </c>
      <c r="S86"/>
      <c r="T86"/>
      <c r="U86"/>
      <c r="V86"/>
      <c r="W86"/>
      <c r="X86"/>
      <c r="Y86"/>
      <c r="Z86"/>
      <c r="AC86" s="11"/>
    </row>
    <row r="87" spans="1:29" ht="14.25" customHeight="1" x14ac:dyDescent="0.2">
      <c r="A87" s="153"/>
      <c r="B87" s="113" t="str">
        <f t="shared" ca="1" si="25"/>
        <v>139Y-140Y</v>
      </c>
      <c r="C87" s="106">
        <f t="shared" ca="1" si="26"/>
        <v>430.12950840414629</v>
      </c>
      <c r="D87" s="10" t="s">
        <v>31</v>
      </c>
      <c r="E87" s="12">
        <f ca="1">[1]!ripe(E$80,[1]!juhe($T$7,6),$C87,0)</f>
        <v>9.9443814020647867</v>
      </c>
      <c r="F87" s="12">
        <f ca="1">[1]!ripe(F$80,[1]!juhe($T$7,6),$C87,0)</f>
        <v>10.18262324594091</v>
      </c>
      <c r="G87" s="12">
        <f ca="1">[1]!ripe(G$80,[1]!juhe($T$7,6),$C87,0)</f>
        <v>10.421132268481468</v>
      </c>
      <c r="H87" s="12">
        <f ca="1">[1]!ripe(H$80,[1]!juhe($T$7,6),$C87,0)</f>
        <v>10.659639088444589</v>
      </c>
      <c r="I87" s="12">
        <f ca="1">[1]!ripe(I$80,[1]!juhe($T$7,6),$C87,0)</f>
        <v>10.897913959243903</v>
      </c>
      <c r="J87" s="12">
        <f ca="1">[1]!ripe(J$80,[1]!juhe($T$7,6),$C87,0)</f>
        <v>11.135737413879438</v>
      </c>
      <c r="K87" s="12">
        <f ca="1">[1]!ripe(K$80,[1]!juhe($T$7,6),$C87,0)</f>
        <v>11.372921663640229</v>
      </c>
      <c r="L87" s="12">
        <f ca="1">[1]!ripe(L$80,[1]!juhe($T$7,6),$C87,0)</f>
        <v>11.609273890359527</v>
      </c>
      <c r="M87" s="12">
        <f ca="1">[1]!ripe(M$80,[1]!juhe($T$7,6),$C87,0)</f>
        <v>11.844680279195998</v>
      </c>
      <c r="N87" s="12">
        <f ca="1">[1]!ripe(N$80,[1]!juhe($T$7,6),$C87,0)</f>
        <v>12.07896059535695</v>
      </c>
      <c r="O87" s="154"/>
      <c r="Q87" s="142" t="s">
        <v>208</v>
      </c>
      <c r="R87">
        <v>51</v>
      </c>
      <c r="S87"/>
      <c r="T87"/>
      <c r="U87"/>
      <c r="V87"/>
      <c r="W87"/>
      <c r="X87"/>
      <c r="Y87"/>
      <c r="Z87"/>
      <c r="AC87" s="11"/>
    </row>
    <row r="88" spans="1:29" ht="14.25" customHeight="1" x14ac:dyDescent="0.2">
      <c r="A88" s="153"/>
      <c r="B88" s="113" t="str">
        <f t="shared" ca="1" si="25"/>
        <v>140Y-141Y</v>
      </c>
      <c r="C88" s="106">
        <f t="shared" ca="1" si="26"/>
        <v>430.16843143122901</v>
      </c>
      <c r="D88" s="10" t="s">
        <v>31</v>
      </c>
      <c r="E88" s="12">
        <f ca="1">[1]!ripe(E$80,[1]!juhe($T$7,6),$C88,0)</f>
        <v>9.9461812457496261</v>
      </c>
      <c r="F88" s="12">
        <f ca="1">[1]!ripe(F$80,[1]!juhe($T$7,6),$C88,0)</f>
        <v>10.18446620925892</v>
      </c>
      <c r="G88" s="12">
        <f ca="1">[1]!ripe(G$80,[1]!juhe($T$7,6),$C88,0)</f>
        <v>10.423018399789585</v>
      </c>
      <c r="H88" s="12">
        <f ca="1">[1]!ripe(H$80,[1]!juhe($T$7,6),$C88,0)</f>
        <v>10.661568387344168</v>
      </c>
      <c r="I88" s="12">
        <f ca="1">[1]!ripe(I$80,[1]!juhe($T$7,6),$C88,0)</f>
        <v>10.899886383754231</v>
      </c>
      <c r="J88" s="12">
        <f ca="1">[1]!ripe(J$80,[1]!juhe($T$7,6),$C88,0)</f>
        <v>11.137752882298242</v>
      </c>
      <c r="K88" s="12">
        <f ca="1">[1]!ripe(K$80,[1]!juhe($T$7,6),$C88,0)</f>
        <v>11.374980060277172</v>
      </c>
      <c r="L88" s="12">
        <f ca="1">[1]!ripe(L$80,[1]!juhe($T$7,6),$C88,0)</f>
        <v>11.611375064625912</v>
      </c>
      <c r="M88" s="12">
        <f ca="1">[1]!ripe(M$80,[1]!juhe($T$7,6),$C88,0)</f>
        <v>11.846824059903669</v>
      </c>
      <c r="N88" s="12">
        <f ca="1">[1]!ripe(N$80,[1]!juhe($T$7,6),$C88,0)</f>
        <v>12.081146778696867</v>
      </c>
      <c r="O88" s="154"/>
      <c r="Q88" s="142" t="s">
        <v>208</v>
      </c>
      <c r="R88">
        <v>52</v>
      </c>
      <c r="S88"/>
      <c r="T88"/>
      <c r="U88"/>
      <c r="V88"/>
      <c r="W88"/>
      <c r="X88"/>
      <c r="Y88"/>
      <c r="Z88"/>
      <c r="AC88" s="11"/>
    </row>
    <row r="89" spans="1:29" ht="14.25" customHeight="1" x14ac:dyDescent="0.2">
      <c r="A89" s="153"/>
      <c r="B89" s="113" t="str">
        <f t="shared" ca="1" si="25"/>
        <v>141Y-142Y</v>
      </c>
      <c r="C89" s="106">
        <f t="shared" ca="1" si="26"/>
        <v>402.92485614569125</v>
      </c>
      <c r="D89" s="10" t="s">
        <v>31</v>
      </c>
      <c r="E89" s="12">
        <f ca="1">[1]!ripe(E$80,[1]!juhe($T$7,6),$C89,0)</f>
        <v>8.7262452841539044</v>
      </c>
      <c r="F89" s="12">
        <f ca="1">[1]!ripe(F$80,[1]!juhe($T$7,6),$C89,0)</f>
        <v>8.9353037144933207</v>
      </c>
      <c r="G89" s="12">
        <f ca="1">[1]!ripe(G$80,[1]!juhe($T$7,6),$C89,0)</f>
        <v>9.1445965954703663</v>
      </c>
      <c r="H89" s="12">
        <f ca="1">[1]!ripe(H$80,[1]!juhe($T$7,6),$C89,0)</f>
        <v>9.3538875436745048</v>
      </c>
      <c r="I89" s="12">
        <f ca="1">[1]!ripe(I$80,[1]!juhe($T$7,6),$C89,0)</f>
        <v>9.5629749553070855</v>
      </c>
      <c r="J89" s="12">
        <f ca="1">[1]!ripe(J$80,[1]!juhe($T$7,6),$C89,0)</f>
        <v>9.7716662469588336</v>
      </c>
      <c r="K89" s="12">
        <f ca="1">[1]!ripe(K$80,[1]!juhe($T$7,6),$C89,0)</f>
        <v>9.9797966330802819</v>
      </c>
      <c r="L89" s="12">
        <f ca="1">[1]!ripe(L$80,[1]!juhe($T$7,6),$C89,0)</f>
        <v>10.187196914748913</v>
      </c>
      <c r="M89" s="12">
        <f ca="1">[1]!ripe(M$80,[1]!juhe($T$7,6),$C89,0)</f>
        <v>10.393767218862294</v>
      </c>
      <c r="N89" s="12">
        <f ca="1">[1]!ripe(N$80,[1]!juhe($T$7,6),$C89,0)</f>
        <v>10.599349388472673</v>
      </c>
      <c r="O89" s="154"/>
      <c r="Q89" s="142" t="s">
        <v>208</v>
      </c>
      <c r="R89">
        <v>53</v>
      </c>
      <c r="S89"/>
      <c r="T89"/>
      <c r="U89"/>
      <c r="V89"/>
      <c r="W89"/>
      <c r="X89"/>
      <c r="Y89"/>
      <c r="Z89"/>
      <c r="AC89" s="11"/>
    </row>
    <row r="90" spans="1:29" ht="14.25" customHeight="1" x14ac:dyDescent="0.2">
      <c r="A90" s="153"/>
      <c r="B90" s="113" t="str">
        <f t="shared" ca="1" si="25"/>
        <v>142Y-143Y</v>
      </c>
      <c r="C90" s="106">
        <f t="shared" ca="1" si="26"/>
        <v>403.02554720514649</v>
      </c>
      <c r="D90" s="10" t="s">
        <v>31</v>
      </c>
      <c r="E90" s="12">
        <f ca="1">[1]!ripe(E$80,[1]!juhe($T$7,6),$C90,0)</f>
        <v>8.7306072124757854</v>
      </c>
      <c r="F90" s="12">
        <f ca="1">[1]!ripe(F$80,[1]!juhe($T$7,6),$C90,0)</f>
        <v>8.9397701434175261</v>
      </c>
      <c r="G90" s="12">
        <f ca="1">[1]!ripe(G$80,[1]!juhe($T$7,6),$C90,0)</f>
        <v>9.1491676421901271</v>
      </c>
      <c r="H90" s="12">
        <f ca="1">[1]!ripe(H$80,[1]!juhe($T$7,6),$C90,0)</f>
        <v>9.3585632072236979</v>
      </c>
      <c r="I90" s="12">
        <f ca="1">[1]!ripe(I$80,[1]!juhe($T$7,6),$C90,0)</f>
        <v>9.5677551339452833</v>
      </c>
      <c r="J90" s="12">
        <f ca="1">[1]!ripe(J$80,[1]!juhe($T$7,6),$C90,0)</f>
        <v>9.7765507426802607</v>
      </c>
      <c r="K90" s="12">
        <f ca="1">[1]!ripe(K$80,[1]!juhe($T$7,6),$C90,0)</f>
        <v>9.9847851655089421</v>
      </c>
      <c r="L90" s="12">
        <f ca="1">[1]!ripe(L$80,[1]!juhe($T$7,6),$C90,0)</f>
        <v>10.192289118932505</v>
      </c>
      <c r="M90" s="12">
        <f ca="1">[1]!ripe(M$80,[1]!juhe($T$7,6),$C90,0)</f>
        <v>10.398962679925635</v>
      </c>
      <c r="N90" s="12">
        <f ca="1">[1]!ripe(N$80,[1]!juhe($T$7,6),$C90,0)</f>
        <v>10.604647612483754</v>
      </c>
      <c r="O90" s="154"/>
      <c r="Q90" s="142" t="s">
        <v>208</v>
      </c>
      <c r="R90">
        <v>54</v>
      </c>
      <c r="S90"/>
      <c r="T90"/>
      <c r="U90"/>
      <c r="V90"/>
      <c r="W90"/>
      <c r="X90"/>
      <c r="Y90"/>
      <c r="Z90"/>
      <c r="AC90" s="11"/>
    </row>
    <row r="91" spans="1:29" x14ac:dyDescent="0.2">
      <c r="A91" s="108"/>
      <c r="B91" s="113" t="str">
        <f t="shared" ca="1" si="25"/>
        <v>143Y-144Y</v>
      </c>
      <c r="C91" s="106">
        <f t="shared" ca="1" si="26"/>
        <v>402.98537355589087</v>
      </c>
      <c r="D91" s="10" t="s">
        <v>31</v>
      </c>
      <c r="E91" s="12">
        <f ca="1">[1]!ripe(E$80,[1]!juhe($T$7,6),$C91,0)</f>
        <v>8.7288667626534426</v>
      </c>
      <c r="F91" s="12">
        <f ca="1">[1]!ripe(F$80,[1]!juhe($T$7,6),$C91,0)</f>
        <v>8.9379879968864504</v>
      </c>
      <c r="G91" s="12">
        <f ca="1">[1]!ripe(G$80,[1]!juhe($T$7,6),$C91,0)</f>
        <v>9.1473437521891352</v>
      </c>
      <c r="H91" s="12">
        <f ca="1">[1]!ripe(H$80,[1]!juhe($T$7,6),$C91,0)</f>
        <v>9.3566975741382787</v>
      </c>
      <c r="I91" s="12">
        <f ca="1">[1]!ripe(I$80,[1]!juhe($T$7,6),$C91,0)</f>
        <v>9.5658477983708128</v>
      </c>
      <c r="J91" s="12">
        <f ca="1">[1]!ripe(J$80,[1]!juhe($T$7,6),$C91,0)</f>
        <v>9.7746017836228773</v>
      </c>
      <c r="K91" s="12">
        <f ca="1">[1]!ripe(K$80,[1]!juhe($T$7,6),$C91,0)</f>
        <v>9.9827946948412656</v>
      </c>
      <c r="L91" s="12">
        <f ca="1">[1]!ripe(L$80,[1]!juhe($T$7,6),$C91,0)</f>
        <v>10.190257282273887</v>
      </c>
      <c r="M91" s="12">
        <f ca="1">[1]!ripe(M$80,[1]!juhe($T$7,6),$C91,0)</f>
        <v>10.396889642815118</v>
      </c>
      <c r="N91" s="12">
        <f ca="1">[1]!ripe(N$80,[1]!juhe($T$7,6),$C91,0)</f>
        <v>10.602533572004786</v>
      </c>
      <c r="O91" s="117"/>
      <c r="Q91" s="142" t="s">
        <v>208</v>
      </c>
      <c r="R91">
        <v>55</v>
      </c>
      <c r="S91"/>
      <c r="T91"/>
      <c r="U91"/>
      <c r="V91"/>
      <c r="W91"/>
      <c r="X91"/>
      <c r="Y91"/>
      <c r="Z91"/>
    </row>
    <row r="92" spans="1:29" s="114" customFormat="1" x14ac:dyDescent="0.2">
      <c r="A92" s="187">
        <v>10</v>
      </c>
      <c r="B92" s="188" t="str">
        <f ca="1">R93</f>
        <v>144Y- 148Y</v>
      </c>
      <c r="C92" s="189">
        <f ca="1">S93</f>
        <v>466.6264206472535</v>
      </c>
      <c r="D92" s="118" t="s">
        <v>130</v>
      </c>
      <c r="E92" s="119">
        <f ca="1">[1]!Olekuvorrand($C92,$T93,$Y93,$X93,$W93,E$4,[1]!juhe($T93,6),TRUE)</f>
        <v>74.725329875946045</v>
      </c>
      <c r="F92" s="119">
        <f ca="1">[1]!Olekuvorrand($C92,$T93,$Y93,$X93,$W93,F$4,[1]!juhe($T93,6),TRUE)</f>
        <v>73.304593563079834</v>
      </c>
      <c r="G92" s="119">
        <f ca="1">[1]!Olekuvorrand($C92,$T93,$Y93,$X93,$W93,G$4,[1]!juhe($T93,6),TRUE)</f>
        <v>71.941196918487549</v>
      </c>
      <c r="H92" s="119">
        <f ca="1">[1]!Olekuvorrand($C92,$T93,$Y93,$X93,$W93,H$4,[1]!juhe($T93,6),TRUE)</f>
        <v>70.632517337799072</v>
      </c>
      <c r="I92" s="119">
        <f ca="1">[1]!Olekuvorrand($C92,$T93,$Y93,$X93,$W93,I$4,[1]!juhe($T93,6),TRUE)</f>
        <v>69.375932216644287</v>
      </c>
      <c r="J92" s="119">
        <f ca="1">[1]!Olekuvorrand($C92,$T93,$Y93,$X93,$W93,J$4,[1]!juhe($T93,6),TRUE)</f>
        <v>68.168818950653076</v>
      </c>
      <c r="K92" s="119">
        <f ca="1">[1]!Olekuvorrand($C92,$T93,$Y93,$X93,$W93,K$4,[1]!juhe($T93,6),TRUE)</f>
        <v>67.008912563323975</v>
      </c>
      <c r="L92" s="119">
        <f ca="1">[1]!Olekuvorrand($C92,$T93,$Y93,$X93,$W93,L$4,[1]!juhe($T93,6),TRUE)</f>
        <v>65.893948078155518</v>
      </c>
      <c r="M92" s="119">
        <f ca="1">[1]!Olekuvorrand($C92,$T93,$Y93,$X93,$W93,M$4,[1]!juhe($T93,6),TRUE)</f>
        <v>64.821541309356689</v>
      </c>
      <c r="N92" s="119">
        <f ca="1">[1]!Olekuvorrand($C92,$T93,$Y93,$X93,$W93,N$4,[1]!juhe($T93,6),TRUE)</f>
        <v>63.789665699005127</v>
      </c>
      <c r="O92" s="190">
        <f ca="1">U93</f>
        <v>65</v>
      </c>
      <c r="P92" s="221"/>
      <c r="Q92" s="142"/>
      <c r="R92"/>
      <c r="S92"/>
      <c r="T92"/>
      <c r="U92"/>
      <c r="V92"/>
      <c r="W92"/>
      <c r="X92"/>
      <c r="Y92"/>
      <c r="Z92"/>
    </row>
    <row r="93" spans="1:29" s="114" customFormat="1" x14ac:dyDescent="0.2">
      <c r="A93" s="187"/>
      <c r="B93" s="188"/>
      <c r="C93" s="189"/>
      <c r="D93" s="118" t="s">
        <v>32</v>
      </c>
      <c r="E93" s="119">
        <f ca="1">E92*[1]!juhe($T93,2)/10</f>
        <v>3396.2662428617477</v>
      </c>
      <c r="F93" s="119">
        <f ca="1">F92*[1]!juhe($T93,2)/10</f>
        <v>3331.6937774419785</v>
      </c>
      <c r="G93" s="119">
        <f ca="1">G92*[1]!juhe($T93,2)/10</f>
        <v>3269.7273999452591</v>
      </c>
      <c r="H93" s="119">
        <f ca="1">H92*[1]!juhe($T93,2)/10</f>
        <v>3210.2479130029678</v>
      </c>
      <c r="I93" s="119">
        <f ca="1">I92*[1]!juhe($T93,2)/10</f>
        <v>3153.1361192464828</v>
      </c>
      <c r="J93" s="119">
        <f ca="1">J92*[1]!juhe($T93,2)/10</f>
        <v>3098.2728213071823</v>
      </c>
      <c r="K93" s="119">
        <f ca="1">K92*[1]!juhe($T93,2)/10</f>
        <v>3045.5550760030746</v>
      </c>
      <c r="L93" s="119">
        <f ca="1">L92*[1]!juhe($T93,2)/10</f>
        <v>2994.8799401521683</v>
      </c>
      <c r="M93" s="119">
        <f ca="1">M92*[1]!juhe($T93,2)/10</f>
        <v>2946.1390525102615</v>
      </c>
      <c r="N93" s="119">
        <f ca="1">N92*[1]!juhe($T93,2)/10</f>
        <v>2899.240306019783</v>
      </c>
      <c r="O93" s="190"/>
      <c r="P93" s="221"/>
      <c r="Q93" s="142" t="s">
        <v>209</v>
      </c>
      <c r="R93" s="129" t="str">
        <f ca="1">INDIRECT("'"&amp;$S$1&amp;"'!"&amp;$Q93&amp;R$4)</f>
        <v>144Y- 148Y</v>
      </c>
      <c r="S93" s="129">
        <f ca="1">INDIRECT("'"&amp;$S$1&amp;"'!"&amp;$Q93&amp;S$4)</f>
        <v>466.6264206472535</v>
      </c>
      <c r="T93" s="129" t="str">
        <f ca="1">INDIRECT("'"&amp;$S$1&amp;"'!"&amp;$Q93&amp;T$4)</f>
        <v>402-AL1/52-ST1A</v>
      </c>
      <c r="U93" s="129">
        <f ca="1">INDIRECT("'"&amp;$S$1&amp;"'!"&amp;$Q93&amp;U$4)</f>
        <v>65</v>
      </c>
      <c r="V93" s="129">
        <f ca="1">INDIRECT("'"&amp;$S$1&amp;"'!"&amp;$Q93&amp;V$4)</f>
        <v>5</v>
      </c>
      <c r="W93" s="129">
        <f ca="1">INDIRECT("'"&amp;$S$1&amp;"'!"&amp;$Q93&amp;W$4)</f>
        <v>6.7838264605956933E-2</v>
      </c>
      <c r="X93" s="129">
        <f ca="1">INDIRECT("'"&amp;$S$1&amp;"'!"&amp;$Q93&amp;X$4)</f>
        <v>-5</v>
      </c>
      <c r="Y93" s="129">
        <f ca="1">INDIRECT("'"&amp;$S$1&amp;"'!"&amp;$Q93&amp;Y$4)</f>
        <v>119.37433481216431</v>
      </c>
      <c r="Z93" s="129">
        <v>3</v>
      </c>
    </row>
    <row r="94" spans="1:29" s="114" customFormat="1" x14ac:dyDescent="0.2">
      <c r="A94" s="187"/>
      <c r="B94" s="188"/>
      <c r="C94" s="189"/>
      <c r="D94" s="118" t="str">
        <f>CONCATENATE(Z93,"T, [daN]")</f>
        <v>3T, [daN]</v>
      </c>
      <c r="E94" s="119">
        <f ca="1">E93*$Z93</f>
        <v>10188.798728585243</v>
      </c>
      <c r="F94" s="119">
        <f t="shared" ref="F94:N94" ca="1" si="27">F93*$Z93</f>
        <v>9995.0813323259354</v>
      </c>
      <c r="G94" s="119">
        <f t="shared" ca="1" si="27"/>
        <v>9809.1821998357773</v>
      </c>
      <c r="H94" s="119">
        <f t="shared" ca="1" si="27"/>
        <v>9630.7437390089035</v>
      </c>
      <c r="I94" s="119">
        <f t="shared" ca="1" si="27"/>
        <v>9459.4083577394485</v>
      </c>
      <c r="J94" s="119">
        <f t="shared" ca="1" si="27"/>
        <v>9294.8184639215469</v>
      </c>
      <c r="K94" s="119">
        <f t="shared" ca="1" si="27"/>
        <v>9136.6652280092239</v>
      </c>
      <c r="L94" s="119">
        <f t="shared" ca="1" si="27"/>
        <v>8984.6398204565048</v>
      </c>
      <c r="M94" s="119">
        <f t="shared" ca="1" si="27"/>
        <v>8838.4171575307846</v>
      </c>
      <c r="N94" s="119">
        <f t="shared" ca="1" si="27"/>
        <v>8697.7209180593491</v>
      </c>
      <c r="O94" s="190"/>
      <c r="P94" s="221"/>
      <c r="Q94" s="142" t="s">
        <v>209</v>
      </c>
      <c r="R94"/>
      <c r="S94"/>
      <c r="T94"/>
      <c r="U94"/>
      <c r="V94"/>
      <c r="W94"/>
      <c r="X94"/>
      <c r="Y94"/>
      <c r="Z94"/>
    </row>
    <row r="95" spans="1:29" s="114" customFormat="1" x14ac:dyDescent="0.2">
      <c r="A95" s="187"/>
      <c r="B95" s="188"/>
      <c r="C95" s="189"/>
      <c r="D95" s="118" t="s">
        <v>31</v>
      </c>
      <c r="E95" s="120">
        <f ca="1">[1]!ripe([1]!Olekuvorrand($C92,$T93,$Y93,$X93,$W93,E$4,[1]!juhe($T93,6),TRUE),[1]!juhe($T93,6),$C92,0)</f>
        <v>12.056154814454725</v>
      </c>
      <c r="F95" s="120">
        <f ca="1">[1]!ripe([1]!Olekuvorrand($C92,$T93,$Y93,$X93,$W93,F$4,[1]!juhe($T93,6),TRUE),[1]!juhe($T93,6),$C92,0)</f>
        <v>12.289818437781321</v>
      </c>
      <c r="G95" s="120">
        <f ca="1">[1]!ripe([1]!Olekuvorrand($C92,$T93,$Y93,$X93,$W93,G$4,[1]!juhe($T93,6),TRUE),[1]!juhe($T93,6),$C92,0)</f>
        <v>12.52272945314439</v>
      </c>
      <c r="H95" s="120">
        <f ca="1">[1]!ripe([1]!Olekuvorrand($C92,$T93,$Y93,$X93,$W93,H$4,[1]!juhe($T93,6),TRUE),[1]!juhe($T93,6),$C92,0)</f>
        <v>12.754750637543633</v>
      </c>
      <c r="I95" s="120">
        <f ca="1">[1]!ripe([1]!Olekuvorrand($C92,$T93,$Y93,$X93,$W93,I$4,[1]!juhe($T93,6),TRUE),[1]!juhe($T93,6),$C92,0)</f>
        <v>12.985773549425048</v>
      </c>
      <c r="J95" s="120">
        <f ca="1">[1]!ripe([1]!Olekuvorrand($C92,$T93,$Y93,$X93,$W93,J$4,[1]!juhe($T93,6),TRUE),[1]!juhe($T93,6),$C92,0)</f>
        <v>13.215721783265156</v>
      </c>
      <c r="K95" s="120">
        <f ca="1">[1]!ripe([1]!Olekuvorrand($C92,$T93,$Y93,$X93,$W93,K$4,[1]!juhe($T93,6),TRUE),[1]!juhe($T93,6),$C92,0)</f>
        <v>13.444482399177071</v>
      </c>
      <c r="L95" s="120">
        <f ca="1">[1]!ripe([1]!Olekuvorrand($C92,$T93,$Y93,$X93,$W93,L$4,[1]!juhe($T93,6),TRUE),[1]!juhe($T93,6),$C92,0)</f>
        <v>13.67197097489233</v>
      </c>
      <c r="M95" s="120">
        <f ca="1">[1]!ripe([1]!Olekuvorrand($C92,$T93,$Y93,$X93,$W93,M$4,[1]!juhe($T93,6),TRUE),[1]!juhe($T93,6),$C92,0)</f>
        <v>13.898159891726667</v>
      </c>
      <c r="N95" s="120">
        <f ca="1">[1]!ripe([1]!Olekuvorrand($C92,$T93,$Y93,$X93,$W93,N$4,[1]!juhe($T93,6),TRUE),[1]!juhe($T93,6),$C92,0)</f>
        <v>14.122979571589996</v>
      </c>
      <c r="O95" s="190"/>
      <c r="P95" s="221"/>
      <c r="Q95" s="142" t="s">
        <v>209</v>
      </c>
      <c r="R95"/>
      <c r="S95"/>
      <c r="T95"/>
      <c r="U95"/>
      <c r="V95"/>
      <c r="W95"/>
      <c r="X95"/>
      <c r="Y95"/>
      <c r="Z95"/>
    </row>
    <row r="96" spans="1:29" s="114" customFormat="1" x14ac:dyDescent="0.2">
      <c r="A96" s="187"/>
      <c r="B96" s="188"/>
      <c r="C96" s="189"/>
      <c r="D96" s="118" t="s">
        <v>195</v>
      </c>
      <c r="E96" s="120">
        <f ca="1">[1]!ripe([1]!Olekuvorrand($C92,$T93,$Y93,$X93,$W93,E$4,[1]!juhe($T93,6)),[1]!juhe($T93,6),$C92,0)</f>
        <v>12.639831154649972</v>
      </c>
      <c r="F96" s="120">
        <f ca="1">[1]!ripe([1]!Olekuvorrand($C92,$T93,$Y93,$X93,$W93,F$4,[1]!juhe($T93,6)),[1]!juhe($T93,6),$C92,0)</f>
        <v>12.887868994915525</v>
      </c>
      <c r="G96" s="120">
        <f ca="1">[1]!ripe([1]!Olekuvorrand($C92,$T93,$Y93,$X93,$W93,G$4,[1]!juhe($T93,6)),[1]!juhe($T93,6),$C92,0)</f>
        <v>13.133956321151443</v>
      </c>
      <c r="H96" s="120">
        <f ca="1">[1]!ripe([1]!Olekuvorrand($C92,$T93,$Y93,$X93,$W93,H$4,[1]!juhe($T93,6)),[1]!juhe($T93,6),$C92,0)</f>
        <v>13.37801020902652</v>
      </c>
      <c r="I96" s="120">
        <f ca="1">[1]!ripe([1]!Olekuvorrand($C92,$T93,$Y93,$X93,$W93,I$4,[1]!juhe($T93,6)),[1]!juhe($T93,6),$C92,0)</f>
        <v>13.620054171911971</v>
      </c>
      <c r="J96" s="120">
        <f ca="1">[1]!ripe([1]!Olekuvorrand($C92,$T93,$Y93,$X93,$W93,J$4,[1]!juhe($T93,6)),[1]!juhe($T93,6),$C92,0)</f>
        <v>13.860002747545016</v>
      </c>
      <c r="K96" s="120">
        <f ca="1">[1]!ripe([1]!Olekuvorrand($C92,$T93,$Y93,$X93,$W93,K$4,[1]!juhe($T93,6)),[1]!juhe($T93,6),$C92,0)</f>
        <v>14.097871911840052</v>
      </c>
      <c r="L96" s="120">
        <f ca="1">[1]!ripe([1]!Olekuvorrand($C92,$T93,$Y93,$X93,$W93,L$4,[1]!juhe($T93,6)),[1]!juhe($T93,6),$C92,0)</f>
        <v>14.333628582910183</v>
      </c>
      <c r="M96" s="120">
        <f ca="1">[1]!ripe([1]!Olekuvorrand($C92,$T93,$Y93,$X93,$W93,M$4,[1]!juhe($T93,6)),[1]!juhe($T93,6),$C92,0)</f>
        <v>14.567288731325416</v>
      </c>
      <c r="N96" s="120">
        <f ca="1">[1]!ripe([1]!Olekuvorrand($C92,$T93,$Y93,$X93,$W93,N$4,[1]!juhe($T93,6)),[1]!juhe($T93,6),$C92,0)</f>
        <v>14.798833623231161</v>
      </c>
      <c r="O96" s="190"/>
      <c r="P96" s="221"/>
      <c r="Q96" s="142" t="s">
        <v>209</v>
      </c>
      <c r="R96"/>
      <c r="S96"/>
      <c r="T96"/>
      <c r="U96"/>
      <c r="V96"/>
      <c r="W96"/>
      <c r="X96"/>
      <c r="Y96"/>
      <c r="Z96"/>
      <c r="AC96" s="121"/>
    </row>
    <row r="97" spans="1:29" x14ac:dyDescent="0.2">
      <c r="A97" s="105"/>
      <c r="B97" s="113" t="str">
        <f t="shared" ref="B97:B100" ca="1" si="28">INDIRECT("Visangud!C" &amp; R97)</f>
        <v>144Y-145Y</v>
      </c>
      <c r="C97" s="106">
        <f t="shared" ref="C97:C100" ca="1" si="29">INDIRECT("Visangud!"&amp;Q97&amp;R97)</f>
        <v>455.65188905548916</v>
      </c>
      <c r="D97" s="10" t="s">
        <v>31</v>
      </c>
      <c r="E97" s="12">
        <f ca="1">[1]!ripe(E$92,[1]!juhe($T$7,6),$C97,0)</f>
        <v>11.495728971359661</v>
      </c>
      <c r="F97" s="12">
        <f ca="1">[1]!ripe(F$92,[1]!juhe($T$7,6),$C97,0)</f>
        <v>11.718530828632417</v>
      </c>
      <c r="G97" s="12">
        <f ca="1">[1]!ripe(G$92,[1]!juhe($T$7,6),$C97,0)</f>
        <v>11.940615062641081</v>
      </c>
      <c r="H97" s="12">
        <f ca="1">[1]!ripe(H$92,[1]!juhe($T$7,6),$C97,0)</f>
        <v>12.161850829145145</v>
      </c>
      <c r="I97" s="12">
        <f ca="1">[1]!ripe(I$92,[1]!juhe($T$7,6),$C97,0)</f>
        <v>12.38213472745565</v>
      </c>
      <c r="J97" s="12">
        <f ca="1">[1]!ripe(J$92,[1]!juhe($T$7,6),$C97,0)</f>
        <v>12.601393903731273</v>
      </c>
      <c r="K97" s="12">
        <f ca="1">[1]!ripe(K$92,[1]!juhe($T$7,6),$C97,0)</f>
        <v>12.819520668053485</v>
      </c>
      <c r="L97" s="12">
        <f ca="1">[1]!ripe(L$92,[1]!juhe($T$7,6),$C97,0)</f>
        <v>13.036434522491371</v>
      </c>
      <c r="M97" s="12">
        <f ca="1">[1]!ripe(M$92,[1]!juhe($T$7,6),$C97,0)</f>
        <v>13.252109132204863</v>
      </c>
      <c r="N97" s="12">
        <f ca="1">[1]!ripe(N$92,[1]!juhe($T$7,6),$C97,0)</f>
        <v>13.466478153415341</v>
      </c>
      <c r="O97" s="107"/>
      <c r="Q97" s="142" t="s">
        <v>209</v>
      </c>
      <c r="R97">
        <v>56</v>
      </c>
      <c r="S97"/>
      <c r="T97"/>
      <c r="U97"/>
      <c r="V97"/>
      <c r="W97"/>
      <c r="X97"/>
      <c r="Y97"/>
      <c r="Z97"/>
      <c r="AC97" s="11"/>
    </row>
    <row r="98" spans="1:29" x14ac:dyDescent="0.2">
      <c r="A98" s="153"/>
      <c r="B98" s="113" t="str">
        <f t="shared" ca="1" si="28"/>
        <v>145Y-146Y</v>
      </c>
      <c r="C98" s="106">
        <f t="shared" ca="1" si="29"/>
        <v>475.51169912002717</v>
      </c>
      <c r="D98" s="10" t="s">
        <v>31</v>
      </c>
      <c r="E98" s="12">
        <f ca="1">[1]!ripe(E$92,[1]!juhe($T$7,6),$C98,0)</f>
        <v>12.519661268182777</v>
      </c>
      <c r="F98" s="12">
        <f ca="1">[1]!ripe(F$92,[1]!juhe($T$7,6),$C98,0)</f>
        <v>12.762308236454768</v>
      </c>
      <c r="G98" s="12">
        <f ca="1">[1]!ripe(G$92,[1]!juhe($T$7,6),$C98,0)</f>
        <v>13.004173662276777</v>
      </c>
      <c r="H98" s="12">
        <f ca="1">[1]!ripe(H$92,[1]!juhe($T$7,6),$C98,0)</f>
        <v>13.245115047023956</v>
      </c>
      <c r="I98" s="12">
        <f ca="1">[1]!ripe(I$92,[1]!juhe($T$7,6),$C98,0)</f>
        <v>13.485019780038565</v>
      </c>
      <c r="J98" s="12">
        <f ca="1">[1]!ripe(J$92,[1]!juhe($T$7,6),$C98,0)</f>
        <v>13.723808518338725</v>
      </c>
      <c r="K98" s="12">
        <f ca="1">[1]!ripe(K$92,[1]!juhe($T$7,6),$C98,0)</f>
        <v>13.961363979992571</v>
      </c>
      <c r="L98" s="12">
        <f ca="1">[1]!ripe(L$92,[1]!juhe($T$7,6),$C98,0)</f>
        <v>14.197598497064439</v>
      </c>
      <c r="M98" s="12">
        <f ca="1">[1]!ripe(M$92,[1]!juhe($T$7,6),$C98,0)</f>
        <v>14.432483389052379</v>
      </c>
      <c r="N98" s="12">
        <f ca="1">[1]!ripe(N$92,[1]!juhe($T$7,6),$C98,0)</f>
        <v>14.665946402892871</v>
      </c>
      <c r="O98" s="107"/>
      <c r="Q98" s="142" t="s">
        <v>209</v>
      </c>
      <c r="R98">
        <v>57</v>
      </c>
      <c r="S98"/>
      <c r="T98"/>
      <c r="U98"/>
      <c r="V98"/>
      <c r="W98"/>
      <c r="X98"/>
      <c r="Y98"/>
      <c r="Z98"/>
      <c r="AC98" s="11"/>
    </row>
    <row r="99" spans="1:29" x14ac:dyDescent="0.2">
      <c r="A99" s="153"/>
      <c r="B99" s="113" t="str">
        <f t="shared" ca="1" si="28"/>
        <v>146Y-147Y</v>
      </c>
      <c r="C99" s="106">
        <f t="shared" ca="1" si="29"/>
        <v>439.71215675729928</v>
      </c>
      <c r="D99" s="10" t="s">
        <v>31</v>
      </c>
      <c r="E99" s="12">
        <f ca="1">[1]!ripe(E$92,[1]!juhe($T$7,6),$C99,0)</f>
        <v>10.705503835027621</v>
      </c>
      <c r="F99" s="12">
        <f ca="1">[1]!ripe(F$92,[1]!juhe($T$7,6),$C99,0)</f>
        <v>10.912990123494168</v>
      </c>
      <c r="G99" s="12">
        <f ca="1">[1]!ripe(G$92,[1]!juhe($T$7,6),$C99,0)</f>
        <v>11.119808118664571</v>
      </c>
      <c r="H99" s="12">
        <f ca="1">[1]!ripe(H$92,[1]!juhe($T$7,6),$C99,0)</f>
        <v>11.325835970630743</v>
      </c>
      <c r="I99" s="12">
        <f ca="1">[1]!ripe(I$92,[1]!juhe($T$7,6),$C99,0)</f>
        <v>11.530977386545581</v>
      </c>
      <c r="J99" s="12">
        <f ca="1">[1]!ripe(J$92,[1]!juhe($T$7,6),$C99,0)</f>
        <v>11.73516452059612</v>
      </c>
      <c r="K99" s="12">
        <f ca="1">[1]!ripe(K$92,[1]!juhe($T$7,6),$C99,0)</f>
        <v>11.938297085550582</v>
      </c>
      <c r="L99" s="12">
        <f ca="1">[1]!ripe(L$92,[1]!juhe($T$7,6),$C99,0)</f>
        <v>12.140300116966932</v>
      </c>
      <c r="M99" s="12">
        <f ca="1">[1]!ripe(M$92,[1]!juhe($T$7,6),$C99,0)</f>
        <v>12.341149090282</v>
      </c>
      <c r="N99" s="12">
        <f ca="1">[1]!ripe(N$92,[1]!juhe($T$7,6),$C99,0)</f>
        <v>12.540782222238875</v>
      </c>
      <c r="O99" s="107"/>
      <c r="Q99" s="142" t="s">
        <v>209</v>
      </c>
      <c r="R99">
        <v>58</v>
      </c>
      <c r="S99"/>
      <c r="T99"/>
      <c r="U99"/>
      <c r="V99"/>
      <c r="W99"/>
      <c r="X99"/>
      <c r="Y99"/>
      <c r="Z99"/>
      <c r="AC99" s="11"/>
    </row>
    <row r="100" spans="1:29" x14ac:dyDescent="0.2">
      <c r="A100" s="108"/>
      <c r="B100" s="113" t="str">
        <f t="shared" ca="1" si="28"/>
        <v>147Y-148Y</v>
      </c>
      <c r="C100" s="106">
        <f t="shared" ca="1" si="29"/>
        <v>490.79630907322172</v>
      </c>
      <c r="D100" s="10" t="s">
        <v>31</v>
      </c>
      <c r="E100" s="12">
        <f ca="1">[1]!ripe(E$92,[1]!juhe($T$7,6),$C100,0)</f>
        <v>13.337448084761064</v>
      </c>
      <c r="F100" s="12">
        <f ca="1">[1]!ripe(F$92,[1]!juhe($T$7,6),$C100,0)</f>
        <v>13.595944802278256</v>
      </c>
      <c r="G100" s="12">
        <f ca="1">[1]!ripe(G$92,[1]!juhe($T$7,6),$C100,0)</f>
        <v>13.85360892683391</v>
      </c>
      <c r="H100" s="12">
        <f ca="1">[1]!ripe(H$92,[1]!juhe($T$7,6),$C100,0)</f>
        <v>14.110288651764073</v>
      </c>
      <c r="I100" s="12">
        <f ca="1">[1]!ripe(I$92,[1]!juhe($T$7,6),$C100,0)</f>
        <v>14.365864010659964</v>
      </c>
      <c r="J100" s="12">
        <f ca="1">[1]!ripe(J$92,[1]!juhe($T$7,6),$C100,0)</f>
        <v>14.620250477840019</v>
      </c>
      <c r="K100" s="12">
        <f ca="1">[1]!ripe(K$92,[1]!juhe($T$7,6),$C100,0)</f>
        <v>14.873323110492763</v>
      </c>
      <c r="L100" s="12">
        <f ca="1">[1]!ripe(L$92,[1]!juhe($T$7,6),$C100,0)</f>
        <v>15.124988514195174</v>
      </c>
      <c r="M100" s="12">
        <f ca="1">[1]!ripe(M$92,[1]!juhe($T$7,6),$C100,0)</f>
        <v>15.375216135029085</v>
      </c>
      <c r="N100" s="12">
        <f ca="1">[1]!ripe(N$92,[1]!juhe($T$7,6),$C100,0)</f>
        <v>15.623929000346198</v>
      </c>
      <c r="O100" s="107"/>
      <c r="Q100" s="142" t="s">
        <v>209</v>
      </c>
      <c r="R100">
        <v>59</v>
      </c>
      <c r="S100"/>
      <c r="T100"/>
      <c r="U100"/>
      <c r="V100"/>
      <c r="W100"/>
      <c r="X100"/>
      <c r="Y100"/>
      <c r="Z100"/>
    </row>
    <row r="101" spans="1:29" s="114" customFormat="1" hidden="1" x14ac:dyDescent="0.2">
      <c r="A101" s="187">
        <v>11</v>
      </c>
      <c r="B101" s="188" t="str">
        <f ca="1">R102</f>
        <v>148Y- 151Y</v>
      </c>
      <c r="C101" s="189">
        <f ca="1">S102</f>
        <v>461.53149095186666</v>
      </c>
      <c r="D101" s="118" t="s">
        <v>130</v>
      </c>
      <c r="E101" s="119">
        <f ca="1">[1]!Olekuvorrand($C101,$T102,$Y102,$X102,$W102,E$4,[1]!juhe($T102,6),TRUE)</f>
        <v>74.900686740875244</v>
      </c>
      <c r="F101" s="119">
        <f ca="1">[1]!Olekuvorrand($C101,$T102,$Y102,$X102,$W102,F$4,[1]!juhe($T102,6),TRUE)</f>
        <v>73.450744152069092</v>
      </c>
      <c r="G101" s="119">
        <f ca="1">[1]!Olekuvorrand($C101,$T102,$Y102,$X102,$W102,G$4,[1]!juhe($T102,6),TRUE)</f>
        <v>72.059929370880127</v>
      </c>
      <c r="H101" s="119">
        <f ca="1">[1]!Olekuvorrand($C101,$T102,$Y102,$X102,$W102,H$4,[1]!juhe($T102,6),TRUE)</f>
        <v>70.725381374359131</v>
      </c>
      <c r="I101" s="119">
        <f ca="1">[1]!Olekuvorrand($C101,$T102,$Y102,$X102,$W102,I$4,[1]!juhe($T102,6),TRUE)</f>
        <v>69.444715976715088</v>
      </c>
      <c r="J101" s="119">
        <f ca="1">[1]!Olekuvorrand($C101,$T102,$Y102,$X102,$W102,J$4,[1]!juhe($T102,6),TRUE)</f>
        <v>68.215072154998779</v>
      </c>
      <c r="K101" s="119">
        <f ca="1">[1]!Olekuvorrand($C101,$T102,$Y102,$X102,$W102,K$4,[1]!juhe($T102,6),TRUE)</f>
        <v>67.034065723419189</v>
      </c>
      <c r="L101" s="119">
        <f ca="1">[1]!Olekuvorrand($C101,$T102,$Y102,$X102,$W102,L$4,[1]!juhe($T102,6),TRUE)</f>
        <v>65.899193286895752</v>
      </c>
      <c r="M101" s="119">
        <f ca="1">[1]!Olekuvorrand($C101,$T102,$Y102,$X102,$W102,M$4,[1]!juhe($T102,6),TRUE)</f>
        <v>64.808309078216553</v>
      </c>
      <c r="N101" s="119">
        <f ca="1">[1]!Olekuvorrand($C101,$T102,$Y102,$X102,$W102,N$4,[1]!juhe($T102,6),TRUE)</f>
        <v>63.759148120880127</v>
      </c>
      <c r="O101" s="190">
        <f ca="1">U102</f>
        <v>65</v>
      </c>
      <c r="P101" s="221"/>
      <c r="Q101" s="142"/>
      <c r="R101"/>
      <c r="S101"/>
      <c r="T101"/>
      <c r="U101"/>
      <c r="V101"/>
      <c r="W101"/>
      <c r="X101"/>
      <c r="Y101"/>
      <c r="Z101"/>
    </row>
    <row r="102" spans="1:29" s="114" customFormat="1" x14ac:dyDescent="0.2">
      <c r="A102" s="187"/>
      <c r="B102" s="188"/>
      <c r="C102" s="189"/>
      <c r="D102" s="118" t="s">
        <v>32</v>
      </c>
      <c r="E102" s="119">
        <f ca="1">E101*[1]!juhe($T102,2)/10</f>
        <v>3404.2362123727798</v>
      </c>
      <c r="F102" s="119">
        <f ca="1">F101*[1]!juhe($T102,2)/10</f>
        <v>3338.3363217115402</v>
      </c>
      <c r="G102" s="119">
        <f ca="1">G101*[1]!juhe($T102,2)/10</f>
        <v>3275.1237899065018</v>
      </c>
      <c r="H102" s="119">
        <f ca="1">H101*[1]!juhe($T102,2)/10</f>
        <v>3214.4685834646225</v>
      </c>
      <c r="I102" s="119">
        <f ca="1">I101*[1]!juhe($T102,2)/10</f>
        <v>3156.2623411417007</v>
      </c>
      <c r="J102" s="119">
        <f ca="1">J101*[1]!juhe($T102,2)/10</f>
        <v>3100.3750294446945</v>
      </c>
      <c r="K102" s="119">
        <f ca="1">K101*[1]!juhe($T102,2)/10</f>
        <v>3046.6982871294022</v>
      </c>
      <c r="L102" s="119">
        <f ca="1">L101*[1]!juhe($T102,2)/10</f>
        <v>2995.1183348894119</v>
      </c>
      <c r="M102" s="119">
        <f ca="1">M101*[1]!juhe($T102,2)/10</f>
        <v>2945.5376476049423</v>
      </c>
      <c r="N102" s="119">
        <f ca="1">N101*[1]!juhe($T102,2)/10</f>
        <v>2897.8532820940018</v>
      </c>
      <c r="O102" s="190"/>
      <c r="P102" s="221"/>
      <c r="Q102" s="142" t="s">
        <v>210</v>
      </c>
      <c r="R102" s="129" t="str">
        <f ca="1">INDIRECT("'"&amp;$S$1&amp;"'!"&amp;$Q102&amp;R$4)</f>
        <v>148Y- 151Y</v>
      </c>
      <c r="S102" s="129">
        <f ca="1">INDIRECT("'"&amp;$S$1&amp;"'!"&amp;$Q102&amp;S$4)</f>
        <v>461.53149095186666</v>
      </c>
      <c r="T102" s="129" t="str">
        <f ca="1">INDIRECT("'"&amp;$S$1&amp;"'!"&amp;$Q102&amp;T$4)</f>
        <v>402-AL1/52-ST1A</v>
      </c>
      <c r="U102" s="129">
        <f ca="1">INDIRECT("'"&amp;$S$1&amp;"'!"&amp;$Q102&amp;U$4)</f>
        <v>65</v>
      </c>
      <c r="V102" s="129">
        <f ca="1">INDIRECT("'"&amp;$S$1&amp;"'!"&amp;$Q102&amp;V$4)</f>
        <v>5</v>
      </c>
      <c r="W102" s="129">
        <f ca="1">INDIRECT("'"&amp;$S$1&amp;"'!"&amp;$Q102&amp;W$4)</f>
        <v>6.7853247969413014E-2</v>
      </c>
      <c r="X102" s="129">
        <f ca="1">INDIRECT("'"&amp;$S$1&amp;"'!"&amp;$Q102&amp;X$4)</f>
        <v>-5</v>
      </c>
      <c r="Y102" s="129">
        <f ca="1">INDIRECT("'"&amp;$S$1&amp;"'!"&amp;$Q102&amp;Y$4)</f>
        <v>119.19349431991577</v>
      </c>
      <c r="Z102" s="129">
        <v>3</v>
      </c>
    </row>
    <row r="103" spans="1:29" s="114" customFormat="1" x14ac:dyDescent="0.2">
      <c r="A103" s="187"/>
      <c r="B103" s="188"/>
      <c r="C103" s="189"/>
      <c r="D103" s="118" t="str">
        <f>CONCATENATE(Z102,"T, [daN]")</f>
        <v>3T, [daN]</v>
      </c>
      <c r="E103" s="119">
        <f ca="1">E102*$Z102</f>
        <v>10212.70863711834</v>
      </c>
      <c r="F103" s="119">
        <f t="shared" ref="F103:N103" ca="1" si="30">F102*$Z102</f>
        <v>10015.008965134621</v>
      </c>
      <c r="G103" s="119">
        <f t="shared" ca="1" si="30"/>
        <v>9825.3713697195053</v>
      </c>
      <c r="H103" s="119">
        <f t="shared" ca="1" si="30"/>
        <v>9643.4057503938675</v>
      </c>
      <c r="I103" s="119">
        <f t="shared" ca="1" si="30"/>
        <v>9468.7870234251022</v>
      </c>
      <c r="J103" s="119">
        <f t="shared" ca="1" si="30"/>
        <v>9301.1250883340836</v>
      </c>
      <c r="K103" s="119">
        <f t="shared" ca="1" si="30"/>
        <v>9140.0948613882065</v>
      </c>
      <c r="L103" s="119">
        <f t="shared" ca="1" si="30"/>
        <v>8985.3550046682358</v>
      </c>
      <c r="M103" s="119">
        <f t="shared" ca="1" si="30"/>
        <v>8836.612942814827</v>
      </c>
      <c r="N103" s="119">
        <f t="shared" ca="1" si="30"/>
        <v>8693.5598462820053</v>
      </c>
      <c r="O103" s="190"/>
      <c r="P103" s="221"/>
      <c r="Q103" s="142" t="s">
        <v>210</v>
      </c>
      <c r="R103"/>
      <c r="S103"/>
      <c r="T103"/>
      <c r="U103"/>
      <c r="V103"/>
      <c r="W103"/>
      <c r="X103"/>
      <c r="Y103"/>
      <c r="Z103"/>
    </row>
    <row r="104" spans="1:29" s="114" customFormat="1" x14ac:dyDescent="0.2">
      <c r="A104" s="187"/>
      <c r="B104" s="188"/>
      <c r="C104" s="189"/>
      <c r="D104" s="118" t="s">
        <v>31</v>
      </c>
      <c r="E104" s="120">
        <f ca="1">[1]!ripe([1]!Olekuvorrand($C101,$T102,$Y102,$X102,$W102,E$4,[1]!juhe($T102,6),TRUE),[1]!juhe($T102,6),$C101,0)</f>
        <v>11.766705527238239</v>
      </c>
      <c r="F104" s="120">
        <f ca="1">[1]!ripe([1]!Olekuvorrand($C101,$T102,$Y102,$X102,$W102,F$4,[1]!juhe($T102,6),TRUE),[1]!juhe($T102,6),$C101,0)</f>
        <v>11.998984283169712</v>
      </c>
      <c r="G104" s="120">
        <f ca="1">[1]!ripe([1]!Olekuvorrand($C101,$T102,$Y102,$X102,$W102,G$4,[1]!juhe($T102,6),TRUE),[1]!juhe($T102,6),$C101,0)</f>
        <v>12.230574361677759</v>
      </c>
      <c r="H104" s="120">
        <f ca="1">[1]!ripe([1]!Olekuvorrand($C101,$T102,$Y102,$X102,$W102,H$4,[1]!juhe($T102,6),TRUE),[1]!juhe($T102,6),$C101,0)</f>
        <v>12.461358391307547</v>
      </c>
      <c r="I104" s="120">
        <f ca="1">[1]!ripe([1]!Olekuvorrand($C101,$T102,$Y102,$X102,$W102,I$4,[1]!juhe($T102,6),TRUE),[1]!juhe($T102,6),$C101,0)</f>
        <v>12.691164651941399</v>
      </c>
      <c r="J104" s="120">
        <f ca="1">[1]!ripe([1]!Olekuvorrand($C101,$T102,$Y102,$X102,$W102,J$4,[1]!juhe($T102,6),TRUE),[1]!juhe($T102,6),$C101,0)</f>
        <v>12.919935387083113</v>
      </c>
      <c r="K104" s="120">
        <f ca="1">[1]!ripe([1]!Olekuvorrand($C101,$T102,$Y102,$X102,$W102,K$4,[1]!juhe($T102,6),TRUE),[1]!juhe($T102,6),$C101,0)</f>
        <v>13.147558859165116</v>
      </c>
      <c r="L104" s="120">
        <f ca="1">[1]!ripe([1]!Olekuvorrand($C101,$T102,$Y102,$X102,$W102,L$4,[1]!juhe($T102,6),TRUE),[1]!juhe($T102,6),$C101,0)</f>
        <v>13.373977445078262</v>
      </c>
      <c r="M104" s="120">
        <f ca="1">[1]!ripe([1]!Olekuvorrand($C101,$T102,$Y102,$X102,$W102,M$4,[1]!juhe($T102,6),TRUE),[1]!juhe($T102,6),$C101,0)</f>
        <v>13.599094579124451</v>
      </c>
      <c r="N104" s="120">
        <f ca="1">[1]!ripe([1]!Olekuvorrand($C101,$T102,$Y102,$X102,$W102,N$4,[1]!juhe($T102,6),TRUE),[1]!juhe($T102,6),$C101,0)</f>
        <v>13.822868570905097</v>
      </c>
      <c r="O104" s="190"/>
      <c r="P104" s="221"/>
      <c r="Q104" s="142" t="s">
        <v>210</v>
      </c>
      <c r="R104"/>
      <c r="S104"/>
      <c r="T104"/>
      <c r="U104"/>
      <c r="V104"/>
      <c r="W104"/>
      <c r="X104"/>
      <c r="Y104"/>
      <c r="Z104"/>
    </row>
    <row r="105" spans="1:29" s="114" customFormat="1" x14ac:dyDescent="0.2">
      <c r="A105" s="187"/>
      <c r="B105" s="188"/>
      <c r="C105" s="189"/>
      <c r="D105" s="118" t="s">
        <v>195</v>
      </c>
      <c r="E105" s="120">
        <f ca="1">[1]!ripe([1]!Olekuvorrand($C101,$T102,$Y102,$X102,$W102,E$4,[1]!juhe($T102,6)),[1]!juhe($T102,6),$C101,0)</f>
        <v>12.343352374547655</v>
      </c>
      <c r="F105" s="120">
        <f ca="1">[1]!ripe([1]!Olekuvorrand($C101,$T102,$Y102,$X102,$W102,F$4,[1]!juhe($T102,6)),[1]!juhe($T102,6),$C101,0)</f>
        <v>12.590427314769491</v>
      </c>
      <c r="G105" s="120">
        <f ca="1">[1]!ripe([1]!Olekuvorrand($C101,$T102,$Y102,$X102,$W102,G$4,[1]!juhe($T102,6)),[1]!juhe($T102,6),$C101,0)</f>
        <v>12.835595382524987</v>
      </c>
      <c r="H105" s="120">
        <f ca="1">[1]!ripe([1]!Olekuvorrand($C101,$T102,$Y102,$X102,$W102,H$4,[1]!juhe($T102,6)),[1]!juhe($T102,6),$C101,0)</f>
        <v>13.078760308524487</v>
      </c>
      <c r="I105" s="120">
        <f ca="1">[1]!ripe([1]!Olekuvorrand($C101,$T102,$Y102,$X102,$W102,I$4,[1]!juhe($T102,6)),[1]!juhe($T102,6),$C101,0)</f>
        <v>13.31990773130337</v>
      </c>
      <c r="J105" s="120">
        <f ca="1">[1]!ripe([1]!Olekuvorrand($C101,$T102,$Y102,$X102,$W102,J$4,[1]!juhe($T102,6)),[1]!juhe($T102,6),$C101,0)</f>
        <v>13.558990107614587</v>
      </c>
      <c r="K105" s="120">
        <f ca="1">[1]!ripe([1]!Olekuvorrand($C101,$T102,$Y102,$X102,$W102,K$4,[1]!juhe($T102,6)),[1]!juhe($T102,6),$C101,0)</f>
        <v>13.795991111245028</v>
      </c>
      <c r="L105" s="120">
        <f ca="1">[1]!ripe([1]!Olekuvorrand($C101,$T102,$Y102,$X102,$W102,L$4,[1]!juhe($T102,6)),[1]!juhe($T102,6),$C101,0)</f>
        <v>14.030898715428373</v>
      </c>
      <c r="M105" s="120">
        <f ca="1">[1]!ripe([1]!Olekuvorrand($C101,$T102,$Y102,$X102,$W102,M$4,[1]!juhe($T102,6)),[1]!juhe($T102,6),$C101,0)</f>
        <v>14.263672578858635</v>
      </c>
      <c r="N105" s="120">
        <f ca="1">[1]!ripe([1]!Olekuvorrand($C101,$T102,$Y102,$X102,$W102,N$4,[1]!juhe($T102,6)),[1]!juhe($T102,6),$C101,0)</f>
        <v>14.494376115079701</v>
      </c>
      <c r="O105" s="190"/>
      <c r="P105" s="221"/>
      <c r="Q105" s="142" t="s">
        <v>210</v>
      </c>
      <c r="R105"/>
      <c r="S105"/>
      <c r="T105"/>
      <c r="U105"/>
      <c r="V105"/>
      <c r="W105"/>
      <c r="X105"/>
      <c r="Y105"/>
      <c r="Z105"/>
      <c r="AC105" s="121"/>
    </row>
    <row r="106" spans="1:29" x14ac:dyDescent="0.2">
      <c r="A106" s="105"/>
      <c r="B106" s="113" t="str">
        <f t="shared" ref="B106:B108" ca="1" si="31">INDIRECT("Visangud!C" &amp; R106)</f>
        <v>148Y-149Y</v>
      </c>
      <c r="C106" s="106">
        <f t="shared" ref="C106:C108" ca="1" si="32">INDIRECT("Visangud!"&amp;Q106&amp;R106)</f>
        <v>455.88600822974109</v>
      </c>
      <c r="D106" s="10" t="s">
        <v>31</v>
      </c>
      <c r="E106" s="12">
        <f ca="1">[1]!ripe(E$101,[1]!juhe($T$7,6),$C106,0)</f>
        <v>11.480603912113656</v>
      </c>
      <c r="F106" s="12">
        <f ca="1">[1]!ripe(F$101,[1]!juhe($T$7,6),$C106,0)</f>
        <v>11.707234925176294</v>
      </c>
      <c r="G106" s="12">
        <f ca="1">[1]!ripe(G$101,[1]!juhe($T$7,6),$C106,0)</f>
        <v>11.933194005665856</v>
      </c>
      <c r="H106" s="12">
        <f ca="1">[1]!ripe(H$101,[1]!juhe($T$7,6),$C106,0)</f>
        <v>12.158366635956279</v>
      </c>
      <c r="I106" s="12">
        <f ca="1">[1]!ripe(I$101,[1]!juhe($T$7,6),$C106,0)</f>
        <v>12.382585271219471</v>
      </c>
      <c r="J106" s="12">
        <f ca="1">[1]!ripe(J$101,[1]!juhe($T$7,6),$C106,0)</f>
        <v>12.605793559279819</v>
      </c>
      <c r="K106" s="12">
        <f ca="1">[1]!ripe(K$101,[1]!juhe($T$7,6),$C106,0)</f>
        <v>12.827882479413345</v>
      </c>
      <c r="L106" s="12">
        <f ca="1">[1]!ripe(L$101,[1]!juhe($T$7,6),$C106,0)</f>
        <v>13.048795809588254</v>
      </c>
      <c r="M106" s="12">
        <f ca="1">[1]!ripe(M$101,[1]!juhe($T$7,6),$C106,0)</f>
        <v>13.268439332053552</v>
      </c>
      <c r="N106" s="12">
        <f ca="1">[1]!ripe(N$101,[1]!juhe($T$7,6),$C106,0)</f>
        <v>13.486772370092037</v>
      </c>
      <c r="O106" s="107"/>
      <c r="Q106" s="142" t="s">
        <v>210</v>
      </c>
      <c r="R106">
        <v>60</v>
      </c>
      <c r="S106"/>
      <c r="T106"/>
      <c r="U106"/>
      <c r="V106"/>
      <c r="W106"/>
      <c r="X106"/>
      <c r="Y106"/>
      <c r="Z106"/>
      <c r="AC106" s="11"/>
    </row>
    <row r="107" spans="1:29" x14ac:dyDescent="0.2">
      <c r="A107" s="108"/>
      <c r="B107" s="113" t="str">
        <f t="shared" ca="1" si="31"/>
        <v>149Y-150Y</v>
      </c>
      <c r="C107" s="106">
        <f t="shared" ca="1" si="32"/>
        <v>455.60098968291328</v>
      </c>
      <c r="D107" s="10" t="s">
        <v>31</v>
      </c>
      <c r="E107" s="12">
        <f ca="1">[1]!ripe(E$101,[1]!juhe($T$7,6),$C107,0)</f>
        <v>11.466253122202966</v>
      </c>
      <c r="F107" s="12">
        <f ca="1">[1]!ripe(F$101,[1]!juhe($T$7,6),$C107,0)</f>
        <v>11.692600845807959</v>
      </c>
      <c r="G107" s="12">
        <f ca="1">[1]!ripe(G$101,[1]!juhe($T$7,6),$C107,0)</f>
        <v>11.918277476757643</v>
      </c>
      <c r="H107" s="12">
        <f ca="1">[1]!ripe(H$101,[1]!juhe($T$7,6),$C107,0)</f>
        <v>12.143168640573334</v>
      </c>
      <c r="I107" s="12">
        <f ca="1">[1]!ripe(I$101,[1]!juhe($T$7,6),$C107,0)</f>
        <v>12.367107001858487</v>
      </c>
      <c r="J107" s="12">
        <f ca="1">[1]!ripe(J$101,[1]!juhe($T$7,6),$C107,0)</f>
        <v>12.590036278877882</v>
      </c>
      <c r="K107" s="12">
        <f ca="1">[1]!ripe(K$101,[1]!juhe($T$7,6),$C107,0)</f>
        <v>12.811847587183781</v>
      </c>
      <c r="L107" s="12">
        <f ca="1">[1]!ripe(L$101,[1]!juhe($T$7,6),$C107,0)</f>
        <v>13.032484775022095</v>
      </c>
      <c r="M107" s="12">
        <f ca="1">[1]!ripe(M$101,[1]!juhe($T$7,6),$C107,0)</f>
        <v>13.251853742414307</v>
      </c>
      <c r="N107" s="12">
        <f ca="1">[1]!ripe(N$101,[1]!juhe($T$7,6),$C107,0)</f>
        <v>13.469913863489239</v>
      </c>
      <c r="O107" s="107"/>
      <c r="Q107" s="142" t="s">
        <v>210</v>
      </c>
      <c r="R107">
        <v>61</v>
      </c>
      <c r="S107"/>
      <c r="T107"/>
      <c r="U107"/>
      <c r="V107"/>
      <c r="W107"/>
      <c r="X107"/>
      <c r="Y107"/>
      <c r="Z107"/>
    </row>
    <row r="108" spans="1:29" x14ac:dyDescent="0.2">
      <c r="A108" s="108"/>
      <c r="B108" s="113" t="str">
        <f t="shared" ca="1" si="31"/>
        <v>150Y-151Y</v>
      </c>
      <c r="C108" s="106">
        <f t="shared" ca="1" si="32"/>
        <v>472.49663385054333</v>
      </c>
      <c r="D108" s="10" t="s">
        <v>31</v>
      </c>
      <c r="E108" s="12">
        <f ca="1">[1]!ripe(E$101,[1]!juhe($T$7,6),$C108,0)</f>
        <v>12.332457994457856</v>
      </c>
      <c r="F108" s="12">
        <f ca="1">[1]!ripe(F$101,[1]!juhe($T$7,6),$C108,0)</f>
        <v>12.575904895878033</v>
      </c>
      <c r="G108" s="12">
        <f ca="1">[1]!ripe(G$101,[1]!juhe($T$7,6),$C108,0)</f>
        <v>12.81863000772198</v>
      </c>
      <c r="H108" s="12">
        <f ca="1">[1]!ripe(H$101,[1]!juhe($T$7,6),$C108,0)</f>
        <v>13.060510315222894</v>
      </c>
      <c r="I108" s="12">
        <f ca="1">[1]!ripe(I$101,[1]!juhe($T$7,6),$C108,0)</f>
        <v>13.301365841824619</v>
      </c>
      <c r="J108" s="12">
        <f ca="1">[1]!ripe(J$101,[1]!juhe($T$7,6),$C108,0)</f>
        <v>13.541136054053142</v>
      </c>
      <c r="K108" s="12">
        <f ca="1">[1]!ripe(K$101,[1]!juhe($T$7,6),$C108,0)</f>
        <v>13.779703841910651</v>
      </c>
      <c r="L108" s="12">
        <f ca="1">[1]!ripe(L$101,[1]!juhe($T$7,6),$C108,0)</f>
        <v>14.017008811723541</v>
      </c>
      <c r="M108" s="12">
        <f ca="1">[1]!ripe(M$101,[1]!juhe($T$7,6),$C108,0)</f>
        <v>14.252949754838903</v>
      </c>
      <c r="N108" s="12">
        <f ca="1">[1]!ripe(N$101,[1]!juhe($T$7,6),$C108,0)</f>
        <v>14.487482976350966</v>
      </c>
      <c r="O108" s="107"/>
      <c r="Q108" s="142" t="s">
        <v>210</v>
      </c>
      <c r="R108">
        <v>62</v>
      </c>
      <c r="S108"/>
      <c r="T108"/>
      <c r="U108"/>
      <c r="V108"/>
      <c r="W108"/>
      <c r="X108"/>
      <c r="Y108"/>
      <c r="Z108"/>
    </row>
    <row r="109" spans="1:29" s="114" customFormat="1" hidden="1" x14ac:dyDescent="0.2">
      <c r="A109" s="187">
        <v>12</v>
      </c>
      <c r="B109" s="188" t="str">
        <f ca="1">R110</f>
        <v>151Y- 154Y</v>
      </c>
      <c r="C109" s="189">
        <f ca="1">S110</f>
        <v>407.59018580213103</v>
      </c>
      <c r="D109" s="118" t="s">
        <v>130</v>
      </c>
      <c r="E109" s="119">
        <f ca="1">[1]!Olekuvorrand($C109,$T110,$Y110,$X110,$W110,E$4,[1]!juhe($T110,6),TRUE)</f>
        <v>77.01951265335083</v>
      </c>
      <c r="F109" s="119">
        <f ca="1">[1]!Olekuvorrand($C109,$T110,$Y110,$X110,$W110,F$4,[1]!juhe($T110,6),TRUE)</f>
        <v>75.211107730865479</v>
      </c>
      <c r="G109" s="119">
        <f ca="1">[1]!Olekuvorrand($C109,$T110,$Y110,$X110,$W110,G$4,[1]!juhe($T110,6),TRUE)</f>
        <v>73.483645915985107</v>
      </c>
      <c r="H109" s="119">
        <f ca="1">[1]!Olekuvorrand($C109,$T110,$Y110,$X110,$W110,H$4,[1]!juhe($T110,6),TRUE)</f>
        <v>71.833670139312744</v>
      </c>
      <c r="I109" s="119">
        <f ca="1">[1]!Olekuvorrand($C109,$T110,$Y110,$X110,$W110,I$4,[1]!juhe($T110,6),TRUE)</f>
        <v>70.257484912872314</v>
      </c>
      <c r="J109" s="119">
        <f ca="1">[1]!Olekuvorrand($C109,$T110,$Y110,$X110,$W110,J$4,[1]!juhe($T110,6),TRUE)</f>
        <v>68.751752376556396</v>
      </c>
      <c r="K109" s="119">
        <f ca="1">[1]!Olekuvorrand($C109,$T110,$Y110,$X110,$W110,K$4,[1]!juhe($T110,6),TRUE)</f>
        <v>67.312896251678467</v>
      </c>
      <c r="L109" s="119">
        <f ca="1">[1]!Olekuvorrand($C109,$T110,$Y110,$X110,$W110,L$4,[1]!juhe($T110,6),TRUE)</f>
        <v>65.937578678131104</v>
      </c>
      <c r="M109" s="119">
        <f ca="1">[1]!Olekuvorrand($C109,$T110,$Y110,$X110,$W110,M$4,[1]!juhe($T110,6),TRUE)</f>
        <v>64.622700214385986</v>
      </c>
      <c r="N109" s="119">
        <f ca="1">[1]!Olekuvorrand($C109,$T110,$Y110,$X110,$W110,N$4,[1]!juhe($T110,6),TRUE)</f>
        <v>63.364923000335693</v>
      </c>
      <c r="O109" s="190">
        <f ca="1">U110</f>
        <v>65</v>
      </c>
      <c r="P109" s="221"/>
      <c r="Q109" s="142"/>
      <c r="R109"/>
      <c r="S109"/>
      <c r="T109"/>
      <c r="U109"/>
      <c r="V109"/>
      <c r="W109"/>
      <c r="X109"/>
      <c r="Y109"/>
      <c r="Z109"/>
    </row>
    <row r="110" spans="1:29" s="114" customFormat="1" x14ac:dyDescent="0.2">
      <c r="A110" s="187"/>
      <c r="B110" s="188"/>
      <c r="C110" s="189"/>
      <c r="D110" s="118" t="s">
        <v>32</v>
      </c>
      <c r="E110" s="119">
        <f ca="1">E109*[1]!juhe($T110,2)/10</f>
        <v>3500.5368500947952</v>
      </c>
      <c r="F110" s="119">
        <f ca="1">F109*[1]!juhe($T110,2)/10</f>
        <v>3418.344846367836</v>
      </c>
      <c r="G110" s="119">
        <f ca="1">G109*[1]!juhe($T110,2)/10</f>
        <v>3339.8317068815231</v>
      </c>
      <c r="H110" s="119">
        <f ca="1">H109*[1]!juhe($T110,2)/10</f>
        <v>3264.8403078317642</v>
      </c>
      <c r="I110" s="119">
        <f ca="1">I109*[1]!juhe($T110,2)/10</f>
        <v>3193.2026892900467</v>
      </c>
      <c r="J110" s="119">
        <f ca="1">J109*[1]!juhe($T110,2)/10</f>
        <v>3124.7671455144882</v>
      </c>
      <c r="K110" s="119">
        <f ca="1">K109*[1]!juhe($T110,2)/10</f>
        <v>3059.3711346387863</v>
      </c>
      <c r="L110" s="119">
        <f ca="1">L109*[1]!juhe($T110,2)/10</f>
        <v>2996.8629509210587</v>
      </c>
      <c r="M110" s="119">
        <f ca="1">M109*[1]!juhe($T110,2)/10</f>
        <v>2937.1017247438431</v>
      </c>
      <c r="N110" s="119">
        <f ca="1">N109*[1]!juhe($T110,2)/10</f>
        <v>2879.9357503652573</v>
      </c>
      <c r="O110" s="190"/>
      <c r="P110" s="221"/>
      <c r="Q110" s="142" t="s">
        <v>211</v>
      </c>
      <c r="R110" s="129" t="str">
        <f ca="1">INDIRECT("'"&amp;$S$1&amp;"'!"&amp;$Q110&amp;R$4)</f>
        <v>151Y- 154Y</v>
      </c>
      <c r="S110" s="129">
        <f ca="1">INDIRECT("'"&amp;$S$1&amp;"'!"&amp;$Q110&amp;S$4)</f>
        <v>407.59018580213103</v>
      </c>
      <c r="T110" s="129" t="str">
        <f ca="1">INDIRECT("'"&amp;$S$1&amp;"'!"&amp;$Q110&amp;T$4)</f>
        <v>402-AL1/52-ST1A</v>
      </c>
      <c r="U110" s="129">
        <f ca="1">INDIRECT("'"&amp;$S$1&amp;"'!"&amp;$Q110&amp;U$4)</f>
        <v>65</v>
      </c>
      <c r="V110" s="129">
        <f ca="1">INDIRECT("'"&amp;$S$1&amp;"'!"&amp;$Q110&amp;V$4)</f>
        <v>5</v>
      </c>
      <c r="W110" s="129">
        <f ca="1">INDIRECT("'"&amp;$S$1&amp;"'!"&amp;$Q110&amp;W$4)</f>
        <v>6.8023820060628501E-2</v>
      </c>
      <c r="X110" s="129">
        <f ca="1">INDIRECT("'"&amp;$S$1&amp;"'!"&amp;$Q110&amp;X$4)</f>
        <v>-5</v>
      </c>
      <c r="Y110" s="129">
        <f ca="1">INDIRECT("'"&amp;$S$1&amp;"'!"&amp;$Q110&amp;Y$4)</f>
        <v>117.0230507850647</v>
      </c>
      <c r="Z110" s="129">
        <v>3</v>
      </c>
    </row>
    <row r="111" spans="1:29" s="114" customFormat="1" x14ac:dyDescent="0.2">
      <c r="A111" s="187"/>
      <c r="B111" s="188"/>
      <c r="C111" s="189"/>
      <c r="D111" s="118" t="str">
        <f>CONCATENATE(Z110,"T, [daN]")</f>
        <v>3T, [daN]</v>
      </c>
      <c r="E111" s="119">
        <f ca="1">E110*$Z110</f>
        <v>10501.610550284386</v>
      </c>
      <c r="F111" s="119">
        <f t="shared" ref="F111:N111" ca="1" si="33">F110*$Z110</f>
        <v>10255.034539103508</v>
      </c>
      <c r="G111" s="119">
        <f t="shared" ca="1" si="33"/>
        <v>10019.495120644569</v>
      </c>
      <c r="H111" s="119">
        <f t="shared" ca="1" si="33"/>
        <v>9794.5209234952927</v>
      </c>
      <c r="I111" s="119">
        <f t="shared" ca="1" si="33"/>
        <v>9579.6080678701401</v>
      </c>
      <c r="J111" s="119">
        <f t="shared" ca="1" si="33"/>
        <v>9374.3014365434647</v>
      </c>
      <c r="K111" s="119">
        <f t="shared" ca="1" si="33"/>
        <v>9178.1134039163589</v>
      </c>
      <c r="L111" s="119">
        <f t="shared" ca="1" si="33"/>
        <v>8990.588852763176</v>
      </c>
      <c r="M111" s="119">
        <f t="shared" ca="1" si="33"/>
        <v>8811.3051742315292</v>
      </c>
      <c r="N111" s="119">
        <f t="shared" ca="1" si="33"/>
        <v>8639.8072510957718</v>
      </c>
      <c r="O111" s="190"/>
      <c r="P111" s="221"/>
      <c r="Q111" s="142" t="s">
        <v>211</v>
      </c>
      <c r="R111"/>
      <c r="S111"/>
      <c r="T111"/>
      <c r="U111"/>
      <c r="V111"/>
      <c r="W111"/>
      <c r="X111"/>
      <c r="Y111"/>
      <c r="Z111"/>
    </row>
    <row r="112" spans="1:29" s="114" customFormat="1" x14ac:dyDescent="0.2">
      <c r="A112" s="187"/>
      <c r="B112" s="188"/>
      <c r="C112" s="189"/>
      <c r="D112" s="118" t="s">
        <v>31</v>
      </c>
      <c r="E112" s="120">
        <f ca="1">[1]!ripe([1]!Olekuvorrand($C109,$T110,$Y110,$X110,$W110,E$4,[1]!juhe($T110,6),TRUE),[1]!juhe($T110,6),$C109,0)</f>
        <v>8.9245160935040388</v>
      </c>
      <c r="F112" s="120">
        <f ca="1">[1]!ripe([1]!Olekuvorrand($C109,$T110,$Y110,$X110,$W110,F$4,[1]!juhe($T110,6),TRUE),[1]!juhe($T110,6),$C109,0)</f>
        <v>9.1391006053030743</v>
      </c>
      <c r="G112" s="120">
        <f ca="1">[1]!ripe([1]!Olekuvorrand($C109,$T110,$Y110,$X110,$W110,G$4,[1]!juhe($T110,6),TRUE),[1]!juhe($T110,6),$C109,0)</f>
        <v>9.3539436104536513</v>
      </c>
      <c r="H112" s="120">
        <f ca="1">[1]!ripe([1]!Olekuvorrand($C109,$T110,$Y110,$X110,$W110,H$4,[1]!juhe($T110,6),TRUE),[1]!juhe($T110,6),$C109,0)</f>
        <v>9.568798014296247</v>
      </c>
      <c r="I112" s="120">
        <f ca="1">[1]!ripe([1]!Olekuvorrand($C109,$T110,$Y110,$X110,$W110,I$4,[1]!juhe($T110,6),TRUE),[1]!juhe($T110,6),$C109,0)</f>
        <v>9.7834683527467341</v>
      </c>
      <c r="J112" s="120">
        <f ca="1">[1]!ripe([1]!Olekuvorrand($C109,$T110,$Y110,$X110,$W110,J$4,[1]!juhe($T110,6),TRUE),[1]!juhe($T110,6),$C109,0)</f>
        <v>9.9977361511304608</v>
      </c>
      <c r="K112" s="120">
        <f ca="1">[1]!ripe([1]!Olekuvorrand($C109,$T110,$Y110,$X110,$W110,K$4,[1]!juhe($T110,6),TRUE),[1]!juhe($T110,6),$C109,0)</f>
        <v>10.211444143164883</v>
      </c>
      <c r="L112" s="120">
        <f ca="1">[1]!ripe([1]!Olekuvorrand($C109,$T110,$Y110,$X110,$W110,L$4,[1]!juhe($T110,6),TRUE),[1]!juhe($T110,6),$C109,0)</f>
        <v>10.424433137649295</v>
      </c>
      <c r="M112" s="120">
        <f ca="1">[1]!ripe([1]!Olekuvorrand($C109,$T110,$Y110,$X110,$W110,M$4,[1]!juhe($T110,6),TRUE),[1]!juhe($T110,6),$C109,0)</f>
        <v>10.636539140400238</v>
      </c>
      <c r="N112" s="120">
        <f ca="1">[1]!ripe([1]!Olekuvorrand($C109,$T110,$Y110,$X110,$W110,N$4,[1]!juhe($T110,6),TRUE),[1]!juhe($T110,6),$C109,0)</f>
        <v>10.847671671360288</v>
      </c>
      <c r="O112" s="190"/>
      <c r="P112" s="221"/>
      <c r="Q112" s="142" t="s">
        <v>211</v>
      </c>
      <c r="R112"/>
      <c r="S112"/>
      <c r="T112"/>
      <c r="U112"/>
      <c r="V112"/>
      <c r="W112"/>
      <c r="X112"/>
      <c r="Y112"/>
      <c r="Z112"/>
    </row>
    <row r="113" spans="1:26" s="114" customFormat="1" x14ac:dyDescent="0.2">
      <c r="A113" s="187"/>
      <c r="B113" s="188"/>
      <c r="C113" s="189"/>
      <c r="D113" s="118" t="s">
        <v>195</v>
      </c>
      <c r="E113" s="120">
        <f ca="1">[1]!ripe([1]!Olekuvorrand($C109,$T110,$Y110,$X110,$W110,E$4,[1]!juhe($T110,6)),[1]!juhe($T110,6),$C109,0)</f>
        <v>9.4167447725730771</v>
      </c>
      <c r="F113" s="120">
        <f ca="1">[1]!ripe([1]!Olekuvorrand($C109,$T110,$Y110,$X110,$W110,F$4,[1]!juhe($T110,6)),[1]!juhe($T110,6),$C109,0)</f>
        <v>9.6514121269238924</v>
      </c>
      <c r="G113" s="120">
        <f ca="1">[1]!ripe([1]!Olekuvorrand($C109,$T110,$Y110,$X110,$W110,G$4,[1]!juhe($T110,6)),[1]!juhe($T110,6),$C109,0)</f>
        <v>9.8847032786024585</v>
      </c>
      <c r="H113" s="120">
        <f ca="1">[1]!ripe([1]!Olekuvorrand($C109,$T110,$Y110,$X110,$W110,H$4,[1]!juhe($T110,6)),[1]!juhe($T110,6),$C109,0)</f>
        <v>10.116453715098769</v>
      </c>
      <c r="I113" s="120">
        <f ca="1">[1]!ripe([1]!Olekuvorrand($C109,$T110,$Y110,$X110,$W110,I$4,[1]!juhe($T110,6)),[1]!juhe($T110,6),$C109,0)</f>
        <v>10.346524323615817</v>
      </c>
      <c r="J113" s="120">
        <f ca="1">[1]!ripe([1]!Olekuvorrand($C109,$T110,$Y110,$X110,$W110,J$4,[1]!juhe($T110,6)),[1]!juhe($T110,6),$C109,0)</f>
        <v>10.574798544630029</v>
      </c>
      <c r="K113" s="120">
        <f ca="1">[1]!ripe([1]!Olekuvorrand($C109,$T110,$Y110,$X110,$W110,K$4,[1]!juhe($T110,6)),[1]!juhe($T110,6),$C109,0)</f>
        <v>10.801178587336448</v>
      </c>
      <c r="L113" s="120">
        <f ca="1">[1]!ripe([1]!Olekuvorrand($C109,$T110,$Y110,$X110,$W110,L$4,[1]!juhe($T110,6)),[1]!juhe($T110,6),$C109,0)</f>
        <v>11.025601817033241</v>
      </c>
      <c r="M113" s="120">
        <f ca="1">[1]!ripe([1]!Olekuvorrand($C109,$T110,$Y110,$X110,$W110,M$4,[1]!juhe($T110,6)),[1]!juhe($T110,6),$C109,0)</f>
        <v>11.247995597264859</v>
      </c>
      <c r="N113" s="120">
        <f ca="1">[1]!ripe([1]!Olekuvorrand($C109,$T110,$Y110,$X110,$W110,N$4,[1]!juhe($T110,6)),[1]!juhe($T110,6),$C109,0)</f>
        <v>11.468357879502276</v>
      </c>
      <c r="O113" s="190"/>
      <c r="P113" s="221"/>
      <c r="Q113" s="142" t="s">
        <v>211</v>
      </c>
      <c r="R113"/>
      <c r="S113"/>
      <c r="T113"/>
      <c r="U113"/>
      <c r="V113"/>
      <c r="W113"/>
      <c r="X113"/>
      <c r="Y113"/>
      <c r="Z113"/>
    </row>
    <row r="114" spans="1:26" x14ac:dyDescent="0.2">
      <c r="A114" s="105"/>
      <c r="B114" s="113" t="str">
        <f t="shared" ref="B114:B116" ca="1" si="34">INDIRECT("Visangud!C" &amp; R114)</f>
        <v>151Y-152Y</v>
      </c>
      <c r="C114" s="106">
        <f t="shared" ref="C114:C116" ca="1" si="35">INDIRECT("Visangud!"&amp;Q114&amp;R114)</f>
        <v>247.1419107672823</v>
      </c>
      <c r="D114" s="10" t="s">
        <v>31</v>
      </c>
      <c r="E114" s="12">
        <f ca="1">[1]!ripe(E$109,[1]!juhe($T$7,6),$C114,0)</f>
        <v>3.2811798865329851</v>
      </c>
      <c r="F114" s="12">
        <f ca="1">[1]!ripe(F$109,[1]!juhe($T$7,6),$C114,0)</f>
        <v>3.3600738429895136</v>
      </c>
      <c r="G114" s="12">
        <f ca="1">[1]!ripe(G$109,[1]!juhe($T$7,6),$C114,0)</f>
        <v>3.439062836888632</v>
      </c>
      <c r="H114" s="12">
        <f ca="1">[1]!ripe(H$109,[1]!juhe($T$7,6),$C114,0)</f>
        <v>3.5180560216210233</v>
      </c>
      <c r="I114" s="12">
        <f ca="1">[1]!ripe(I$109,[1]!juhe($T$7,6),$C114,0)</f>
        <v>3.5969815330301698</v>
      </c>
      <c r="J114" s="12">
        <f ca="1">[1]!ripe(J$109,[1]!juhe($T$7,6),$C114,0)</f>
        <v>3.6757590469056978</v>
      </c>
      <c r="K114" s="12">
        <f ca="1">[1]!ripe(K$109,[1]!juhe($T$7,6),$C114,0)</f>
        <v>3.7543307428618622</v>
      </c>
      <c r="L114" s="12">
        <f ca="1">[1]!ripe(L$109,[1]!juhe($T$7,6),$C114,0)</f>
        <v>3.8326380927991681</v>
      </c>
      <c r="M114" s="12">
        <f ca="1">[1]!ripe(M$109,[1]!juhe($T$7,6),$C114,0)</f>
        <v>3.9106208027576255</v>
      </c>
      <c r="N114" s="12">
        <f ca="1">[1]!ripe(N$109,[1]!juhe($T$7,6),$C114,0)</f>
        <v>3.9882456069173897</v>
      </c>
      <c r="O114" s="107"/>
      <c r="Q114" s="142" t="s">
        <v>211</v>
      </c>
      <c r="R114">
        <v>63</v>
      </c>
      <c r="S114"/>
      <c r="T114"/>
      <c r="U114"/>
      <c r="V114"/>
      <c r="W114"/>
      <c r="X114"/>
      <c r="Y114"/>
      <c r="Z114"/>
    </row>
    <row r="115" spans="1:26" x14ac:dyDescent="0.2">
      <c r="A115" s="108"/>
      <c r="B115" s="113" t="str">
        <f t="shared" ca="1" si="34"/>
        <v>152Y-153Y</v>
      </c>
      <c r="C115" s="106">
        <f t="shared" ca="1" si="35"/>
        <v>420.36242601072905</v>
      </c>
      <c r="D115" s="10" t="s">
        <v>31</v>
      </c>
      <c r="E115" s="12">
        <f ca="1">[1]!ripe(E$109,[1]!juhe($T$7,6),$C115,0)</f>
        <v>9.4925964847677857</v>
      </c>
      <c r="F115" s="12">
        <f ca="1">[1]!ripe(F$109,[1]!juhe($T$7,6),$C115,0)</f>
        <v>9.7208401408996625</v>
      </c>
      <c r="G115" s="12">
        <f ca="1">[1]!ripe(G$109,[1]!juhe($T$7,6),$C115,0)</f>
        <v>9.949358744496978</v>
      </c>
      <c r="H115" s="12">
        <f ca="1">[1]!ripe(H$109,[1]!juhe($T$7,6),$C115,0)</f>
        <v>10.177889472357689</v>
      </c>
      <c r="I115" s="12">
        <f ca="1">[1]!ripe(I$109,[1]!juhe($T$7,6),$C115,0)</f>
        <v>10.406224418343417</v>
      </c>
      <c r="J115" s="12">
        <f ca="1">[1]!ripe(J$109,[1]!juhe($T$7,6),$C115,0)</f>
        <v>10.634131201011082</v>
      </c>
      <c r="K115" s="12">
        <f ca="1">[1]!ripe(K$109,[1]!juhe($T$7,6),$C115,0)</f>
        <v>10.861442543463513</v>
      </c>
      <c r="L115" s="12">
        <f ca="1">[1]!ripe(L$109,[1]!juhe($T$7,6),$C115,0)</f>
        <v>11.087989121356806</v>
      </c>
      <c r="M115" s="12">
        <f ca="1">[1]!ripe(M$109,[1]!juhe($T$7,6),$C115,0)</f>
        <v>11.313596501635642</v>
      </c>
      <c r="N115" s="12">
        <f ca="1">[1]!ripe(N$109,[1]!juhe($T$7,6),$C115,0)</f>
        <v>11.538168444832685</v>
      </c>
      <c r="O115" s="107"/>
      <c r="Q115" s="142" t="s">
        <v>211</v>
      </c>
      <c r="R115">
        <v>64</v>
      </c>
      <c r="S115"/>
      <c r="T115"/>
      <c r="U115"/>
      <c r="V115"/>
      <c r="W115"/>
      <c r="X115"/>
      <c r="Y115"/>
      <c r="Z115"/>
    </row>
    <row r="116" spans="1:26" x14ac:dyDescent="0.2">
      <c r="A116" s="108"/>
      <c r="B116" s="113" t="str">
        <f t="shared" ca="1" si="34"/>
        <v>153Y-154Y</v>
      </c>
      <c r="C116" s="106">
        <f t="shared" ca="1" si="35"/>
        <v>461.2772269470675</v>
      </c>
      <c r="D116" s="10" t="s">
        <v>31</v>
      </c>
      <c r="E116" s="12">
        <f ca="1">[1]!ripe(E$109,[1]!juhe($T$7,6),$C116,0)</f>
        <v>11.430395799516281</v>
      </c>
      <c r="F116" s="12">
        <f ca="1">[1]!ripe(F$109,[1]!juhe($T$7,6),$C116,0)</f>
        <v>11.705232650793212</v>
      </c>
      <c r="G116" s="12">
        <f ca="1">[1]!ripe(G$109,[1]!juhe($T$7,6),$C116,0)</f>
        <v>11.980400576751247</v>
      </c>
      <c r="H116" s="12">
        <f ca="1">[1]!ripe(H$109,[1]!juhe($T$7,6),$C116,0)</f>
        <v>12.255583101995114</v>
      </c>
      <c r="I116" s="12">
        <f ca="1">[1]!ripe(I$109,[1]!juhe($T$7,6),$C116,0)</f>
        <v>12.53052987885075</v>
      </c>
      <c r="J116" s="12">
        <f ca="1">[1]!ripe(J$109,[1]!juhe($T$7,6),$C116,0)</f>
        <v>12.804961088000526</v>
      </c>
      <c r="K116" s="12">
        <f ca="1">[1]!ripe(K$109,[1]!juhe($T$7,6),$C116,0)</f>
        <v>13.078675304982145</v>
      </c>
      <c r="L116" s="12">
        <f ca="1">[1]!ripe(L$109,[1]!juhe($T$7,6),$C116,0)</f>
        <v>13.351468639924963</v>
      </c>
      <c r="M116" s="12">
        <f ca="1">[1]!ripe(M$109,[1]!juhe($T$7,6),$C116,0)</f>
        <v>13.623131051364984</v>
      </c>
      <c r="N116" s="12">
        <f ca="1">[1]!ripe(N$109,[1]!juhe($T$7,6),$C116,0)</f>
        <v>13.893546653706</v>
      </c>
      <c r="O116" s="107"/>
      <c r="Q116" s="142" t="s">
        <v>211</v>
      </c>
      <c r="R116">
        <v>65</v>
      </c>
      <c r="S116"/>
      <c r="T116"/>
      <c r="U116"/>
      <c r="V116"/>
      <c r="W116"/>
      <c r="X116"/>
      <c r="Y116"/>
      <c r="Z116"/>
    </row>
    <row r="117" spans="1:26" s="114" customFormat="1" hidden="1" x14ac:dyDescent="0.2">
      <c r="A117" s="187">
        <v>13</v>
      </c>
      <c r="B117" s="188" t="str">
        <f ca="1">R118</f>
        <v>154Y- 156Y</v>
      </c>
      <c r="C117" s="189">
        <f ca="1">S118</f>
        <v>360.03370480776539</v>
      </c>
      <c r="D117" s="118" t="s">
        <v>130</v>
      </c>
      <c r="E117" s="119">
        <f ca="1">[1]!Olekuvorrand($C117,$T118,$Y118,$X118,$W118,E$4,[1]!juhe($T118,6),TRUE)</f>
        <v>79.325854778289795</v>
      </c>
      <c r="F117" s="119">
        <f ca="1">[1]!Olekuvorrand($C117,$T118,$Y118,$X118,$W118,F$4,[1]!juhe($T118,6),TRUE)</f>
        <v>77.119886875152588</v>
      </c>
      <c r="G117" s="119">
        <f ca="1">[1]!Olekuvorrand($C117,$T118,$Y118,$X118,$W118,G$4,[1]!juhe($T118,6),TRUE)</f>
        <v>75.017154216766357</v>
      </c>
      <c r="H117" s="119">
        <f ca="1">[1]!Olekuvorrand($C117,$T118,$Y118,$X118,$W118,H$4,[1]!juhe($T118,6),TRUE)</f>
        <v>73.014438152313232</v>
      </c>
      <c r="I117" s="119">
        <f ca="1">[1]!Olekuvorrand($C117,$T118,$Y118,$X118,$W118,I$4,[1]!juhe($T118,6),TRUE)</f>
        <v>71.107685565948486</v>
      </c>
      <c r="J117" s="119">
        <f ca="1">[1]!Olekuvorrand($C117,$T118,$Y118,$X118,$W118,J$4,[1]!juhe($T118,6),TRUE)</f>
        <v>69.293081760406494</v>
      </c>
      <c r="K117" s="119">
        <f ca="1">[1]!Olekuvorrand($C117,$T118,$Y118,$X118,$W118,K$4,[1]!juhe($T118,6),TRUE)</f>
        <v>67.566454410552979</v>
      </c>
      <c r="L117" s="119">
        <f ca="1">[1]!Olekuvorrand($C117,$T118,$Y118,$X118,$W118,L$4,[1]!juhe($T118,6),TRUE)</f>
        <v>65.923750400543213</v>
      </c>
      <c r="M117" s="119">
        <f ca="1">[1]!Olekuvorrand($C117,$T118,$Y118,$X118,$W118,M$4,[1]!juhe($T118,6),TRUE)</f>
        <v>64.36079740524292</v>
      </c>
      <c r="N117" s="119">
        <f ca="1">[1]!Olekuvorrand($C117,$T118,$Y118,$X118,$W118,N$4,[1]!juhe($T118,6),TRUE)</f>
        <v>62.873303890228271</v>
      </c>
      <c r="O117" s="190">
        <f ca="1">U118</f>
        <v>65</v>
      </c>
      <c r="P117" s="221"/>
      <c r="Q117" s="142"/>
      <c r="R117"/>
      <c r="S117"/>
      <c r="T117"/>
      <c r="U117"/>
      <c r="V117"/>
      <c r="W117"/>
      <c r="X117"/>
      <c r="Y117"/>
      <c r="Z117"/>
    </row>
    <row r="118" spans="1:26" s="114" customFormat="1" x14ac:dyDescent="0.2">
      <c r="A118" s="187"/>
      <c r="B118" s="188"/>
      <c r="C118" s="189"/>
      <c r="D118" s="118" t="s">
        <v>32</v>
      </c>
      <c r="E118" s="119">
        <f ca="1">E117*[1]!juhe($T118,2)/10</f>
        <v>3605.3600996732712</v>
      </c>
      <c r="F118" s="119">
        <f ca="1">F117*[1]!juhe($T118,2)/10</f>
        <v>3505.0988584756851</v>
      </c>
      <c r="G118" s="119">
        <f ca="1">G117*[1]!juhe($T118,2)/10</f>
        <v>3409.5296591520309</v>
      </c>
      <c r="H118" s="119">
        <f ca="1">H117*[1]!juhe($T118,2)/10</f>
        <v>3318.5062140226364</v>
      </c>
      <c r="I118" s="119">
        <f ca="1">I117*[1]!juhe($T118,2)/10</f>
        <v>3231.8443089723587</v>
      </c>
      <c r="J118" s="119">
        <f ca="1">J117*[1]!juhe($T118,2)/10</f>
        <v>3149.3705660104752</v>
      </c>
      <c r="K118" s="119">
        <f ca="1">K117*[1]!juhe($T118,2)/10</f>
        <v>3070.8953529596329</v>
      </c>
      <c r="L118" s="119">
        <f ca="1">L117*[1]!juhe($T118,2)/10</f>
        <v>2996.234455704689</v>
      </c>
      <c r="M118" s="119">
        <f ca="1">M117*[1]!juhe($T118,2)/10</f>
        <v>2925.1982420682907</v>
      </c>
      <c r="N118" s="119">
        <f ca="1">N117*[1]!juhe($T118,2)/10</f>
        <v>2857.5916618108749</v>
      </c>
      <c r="O118" s="190"/>
      <c r="P118" s="221"/>
      <c r="Q118" s="142" t="s">
        <v>212</v>
      </c>
      <c r="R118" s="129" t="str">
        <f ca="1">INDIRECT("'"&amp;$S$1&amp;"'!"&amp;$Q118&amp;R$4)</f>
        <v>154Y- 156Y</v>
      </c>
      <c r="S118" s="129">
        <f ca="1">INDIRECT("'"&amp;$S$1&amp;"'!"&amp;$Q118&amp;S$4)</f>
        <v>360.03370480776539</v>
      </c>
      <c r="T118" s="129" t="str">
        <f ca="1">INDIRECT("'"&amp;$S$1&amp;"'!"&amp;$Q118&amp;T$4)</f>
        <v>402-AL1/52-ST1A</v>
      </c>
      <c r="U118" s="129">
        <f ca="1">INDIRECT("'"&amp;$S$1&amp;"'!"&amp;$Q118&amp;U$4)</f>
        <v>65</v>
      </c>
      <c r="V118" s="129">
        <f ca="1">INDIRECT("'"&amp;$S$1&amp;"'!"&amp;$Q118&amp;V$4)</f>
        <v>5</v>
      </c>
      <c r="W118" s="129">
        <f ca="1">INDIRECT("'"&amp;$S$1&amp;"'!"&amp;$Q118&amp;W$4)</f>
        <v>6.8195813388419929E-2</v>
      </c>
      <c r="X118" s="129">
        <f ca="1">INDIRECT("'"&amp;$S$1&amp;"'!"&amp;$Q118&amp;X$4)</f>
        <v>-5</v>
      </c>
      <c r="Y118" s="129">
        <f ca="1">INDIRECT("'"&amp;$S$1&amp;"'!"&amp;$Q118&amp;Y$4)</f>
        <v>114.65197801589966</v>
      </c>
      <c r="Z118" s="129">
        <v>3</v>
      </c>
    </row>
    <row r="119" spans="1:26" s="114" customFormat="1" x14ac:dyDescent="0.2">
      <c r="A119" s="187"/>
      <c r="B119" s="188"/>
      <c r="C119" s="189"/>
      <c r="D119" s="118" t="str">
        <f>CONCATENATE(Z118,"T, [daN]")</f>
        <v>3T, [daN]</v>
      </c>
      <c r="E119" s="119">
        <f ca="1">E118*$Z118</f>
        <v>10816.080299019814</v>
      </c>
      <c r="F119" s="119">
        <f t="shared" ref="F119:N119" ca="1" si="36">F118*$Z118</f>
        <v>10515.296575427055</v>
      </c>
      <c r="G119" s="119">
        <f t="shared" ca="1" si="36"/>
        <v>10228.588977456093</v>
      </c>
      <c r="H119" s="119">
        <f t="shared" ca="1" si="36"/>
        <v>9955.5186420679092</v>
      </c>
      <c r="I119" s="119">
        <f t="shared" ca="1" si="36"/>
        <v>9695.5329269170761</v>
      </c>
      <c r="J119" s="119">
        <f t="shared" ca="1" si="36"/>
        <v>9448.1116980314255</v>
      </c>
      <c r="K119" s="119">
        <f t="shared" ca="1" si="36"/>
        <v>9212.6860588788986</v>
      </c>
      <c r="L119" s="119">
        <f t="shared" ca="1" si="36"/>
        <v>8988.7033671140671</v>
      </c>
      <c r="M119" s="119">
        <f t="shared" ca="1" si="36"/>
        <v>8775.5947262048721</v>
      </c>
      <c r="N119" s="119">
        <f t="shared" ca="1" si="36"/>
        <v>8572.7749854326248</v>
      </c>
      <c r="O119" s="190"/>
      <c r="P119" s="221"/>
      <c r="Q119" s="142" t="s">
        <v>212</v>
      </c>
      <c r="R119"/>
      <c r="S119"/>
      <c r="T119"/>
      <c r="U119"/>
      <c r="V119"/>
      <c r="W119"/>
      <c r="X119"/>
      <c r="Y119"/>
      <c r="Z119"/>
    </row>
    <row r="120" spans="1:26" s="114" customFormat="1" x14ac:dyDescent="0.2">
      <c r="A120" s="187"/>
      <c r="B120" s="188"/>
      <c r="C120" s="189"/>
      <c r="D120" s="118" t="s">
        <v>31</v>
      </c>
      <c r="E120" s="120">
        <f ca="1">[1]!ripe([1]!Olekuvorrand($C117,$T118,$Y118,$X118,$W118,E$4,[1]!juhe($T118,6),TRUE),[1]!juhe($T118,6),$C117,0)</f>
        <v>6.7609786597518449</v>
      </c>
      <c r="F120" s="120">
        <f ca="1">[1]!ripe([1]!Olekuvorrand($C117,$T118,$Y118,$X118,$W118,F$4,[1]!juhe($T118,6),TRUE),[1]!juhe($T118,6),$C117,0)</f>
        <v>6.9543723811580094</v>
      </c>
      <c r="G120" s="120">
        <f ca="1">[1]!ripe([1]!Olekuvorrand($C117,$T118,$Y118,$X118,$W118,G$4,[1]!juhe($T118,6),TRUE),[1]!juhe($T118,6),$C117,0)</f>
        <v>7.1493036082502242</v>
      </c>
      <c r="H120" s="120">
        <f ca="1">[1]!ripe([1]!Olekuvorrand($C117,$T118,$Y118,$X118,$W118,H$4,[1]!juhe($T118,6),TRUE),[1]!juhe($T118,6),$C117,0)</f>
        <v>7.3454021546230246</v>
      </c>
      <c r="I120" s="120">
        <f ca="1">[1]!ripe([1]!Olekuvorrand($C117,$T118,$Y118,$X118,$W118,I$4,[1]!juhe($T118,6),TRUE),[1]!juhe($T118,6),$C117,0)</f>
        <v>7.5423691131837414</v>
      </c>
      <c r="J120" s="120">
        <f ca="1">[1]!ripe([1]!Olekuvorrand($C117,$T118,$Y118,$X118,$W118,J$4,[1]!juhe($T118,6),TRUE),[1]!juhe($T118,6),$C117,0)</f>
        <v>7.739883949410955</v>
      </c>
      <c r="K120" s="120">
        <f ca="1">[1]!ripe([1]!Olekuvorrand($C117,$T118,$Y118,$X118,$W118,K$4,[1]!juhe($T118,6),TRUE),[1]!juhe($T118,6),$C117,0)</f>
        <v>7.9376728585424354</v>
      </c>
      <c r="L120" s="120">
        <f ca="1">[1]!ripe([1]!Olekuvorrand($C117,$T118,$Y118,$X118,$W118,L$4,[1]!juhe($T118,6),TRUE),[1]!juhe($T118,6),$C117,0)</f>
        <v>8.1354657170440952</v>
      </c>
      <c r="M120" s="120">
        <f ca="1">[1]!ripe([1]!Olekuvorrand($C117,$T118,$Y118,$X118,$W118,M$4,[1]!juhe($T118,6),TRUE),[1]!juhe($T118,6),$C117,0)</f>
        <v>8.3330293120156682</v>
      </c>
      <c r="N120" s="120">
        <f ca="1">[1]!ripe([1]!Olekuvorrand($C117,$T118,$Y118,$X118,$W118,N$4,[1]!juhe($T118,6),TRUE),[1]!juhe($T118,6),$C117,0)</f>
        <v>8.5301770089728937</v>
      </c>
      <c r="O120" s="190"/>
      <c r="P120" s="221"/>
      <c r="Q120" s="142" t="s">
        <v>212</v>
      </c>
      <c r="R120"/>
      <c r="S120"/>
      <c r="T120"/>
      <c r="U120"/>
      <c r="V120"/>
      <c r="W120"/>
      <c r="X120"/>
      <c r="Y120"/>
      <c r="Z120"/>
    </row>
    <row r="121" spans="1:26" s="114" customFormat="1" x14ac:dyDescent="0.2">
      <c r="A121" s="187"/>
      <c r="B121" s="188"/>
      <c r="C121" s="189"/>
      <c r="D121" s="118" t="s">
        <v>195</v>
      </c>
      <c r="E121" s="120">
        <f ca="1">[1]!ripe([1]!Olekuvorrand($C117,$T118,$Y118,$X118,$W118,E$4,[1]!juhe($T118,6)),[1]!juhe($T118,6),$C117,0)</f>
        <v>7.1632022510028435</v>
      </c>
      <c r="F121" s="120">
        <f ca="1">[1]!ripe([1]!Olekuvorrand($C117,$T118,$Y118,$X118,$W118,F$4,[1]!juhe($T118,6)),[1]!juhe($T118,6),$C117,0)</f>
        <v>7.3821144913088403</v>
      </c>
      <c r="G121" s="120">
        <f ca="1">[1]!ripe([1]!Olekuvorrand($C117,$T118,$Y118,$X118,$W118,G$4,[1]!juhe($T118,6)),[1]!juhe($T118,6),$C117,0)</f>
        <v>7.6006776152189524</v>
      </c>
      <c r="H121" s="120">
        <f ca="1">[1]!ripe([1]!Olekuvorrand($C117,$T118,$Y118,$X118,$W118,H$4,[1]!juhe($T118,6)),[1]!juhe($T118,6),$C117,0)</f>
        <v>7.8185438628073349</v>
      </c>
      <c r="I121" s="120">
        <f ca="1">[1]!ripe([1]!Olekuvorrand($C117,$T118,$Y118,$X118,$W118,I$4,[1]!juhe($T118,6)),[1]!juhe($T118,6),$C117,0)</f>
        <v>8.035424045794386</v>
      </c>
      <c r="J121" s="120">
        <f ca="1">[1]!ripe([1]!Olekuvorrand($C117,$T118,$Y118,$X118,$W118,J$4,[1]!juhe($T118,6)),[1]!juhe($T118,6),$C117,0)</f>
        <v>8.2510835537647296</v>
      </c>
      <c r="K121" s="120">
        <f ca="1">[1]!ripe([1]!Olekuvorrand($C117,$T118,$Y118,$X118,$W118,K$4,[1]!juhe($T118,6)),[1]!juhe($T118,6),$C117,0)</f>
        <v>8.465301236277659</v>
      </c>
      <c r="L121" s="120">
        <f ca="1">[1]!ripe([1]!Olekuvorrand($C117,$T118,$Y118,$X118,$W118,L$4,[1]!juhe($T118,6)),[1]!juhe($T118,6),$C117,0)</f>
        <v>8.6779132667759935</v>
      </c>
      <c r="M121" s="120">
        <f ca="1">[1]!ripe([1]!Olekuvorrand($C117,$T118,$Y118,$X118,$W118,M$4,[1]!juhe($T118,6)),[1]!juhe($T118,6),$C117,0)</f>
        <v>8.8887824708781622</v>
      </c>
      <c r="N121" s="120">
        <f ca="1">[1]!ripe([1]!Olekuvorrand($C117,$T118,$Y118,$X118,$W118,N$4,[1]!juhe($T118,6)),[1]!juhe($T118,6),$C117,0)</f>
        <v>9.0977934737554769</v>
      </c>
      <c r="O121" s="190"/>
      <c r="P121" s="221"/>
      <c r="Q121" s="142" t="s">
        <v>212</v>
      </c>
      <c r="R121"/>
      <c r="S121"/>
      <c r="T121"/>
      <c r="U121"/>
      <c r="V121"/>
      <c r="W121"/>
      <c r="X121"/>
      <c r="Y121"/>
      <c r="Z121"/>
    </row>
    <row r="122" spans="1:26" x14ac:dyDescent="0.2">
      <c r="A122" s="105"/>
      <c r="B122" s="113" t="str">
        <f t="shared" ref="B122:B123" ca="1" si="37">INDIRECT("Visangud!C" &amp; R122)</f>
        <v>154Y-155Y</v>
      </c>
      <c r="C122" s="106">
        <f t="shared" ref="C122:C123" ca="1" si="38">INDIRECT("Visangud!"&amp;Q122&amp;R122)</f>
        <v>368.2816644906481</v>
      </c>
      <c r="D122" s="10" t="s">
        <v>31</v>
      </c>
      <c r="E122" s="12">
        <f ca="1">[1]!ripe(E$117,[1]!juhe($T$7,6),$C122,0)</f>
        <v>7.0742994768030405</v>
      </c>
      <c r="F122" s="12">
        <f ca="1">[1]!ripe(F$117,[1]!juhe($T$7,6),$C122,0)</f>
        <v>7.2766555514206219</v>
      </c>
      <c r="G122" s="12">
        <f ca="1">[1]!ripe(G$117,[1]!juhe($T$7,6),$C122,0)</f>
        <v>7.4806203836186933</v>
      </c>
      <c r="H122" s="12">
        <f ca="1">[1]!ripe(H$117,[1]!juhe($T$7,6),$C122,0)</f>
        <v>7.6858066316193439</v>
      </c>
      <c r="I122" s="12">
        <f ca="1">[1]!ripe(I$117,[1]!juhe($T$7,6),$C122,0)</f>
        <v>7.891901536220729</v>
      </c>
      <c r="J122" s="12">
        <f ca="1">[1]!ripe(J$117,[1]!juhe($T$7,6),$C122,0)</f>
        <v>8.0985697085226214</v>
      </c>
      <c r="K122" s="12">
        <f ca="1">[1]!ripe(K$117,[1]!juhe($T$7,6),$C122,0)</f>
        <v>8.3055246549589761</v>
      </c>
      <c r="L122" s="12">
        <f ca="1">[1]!ripe(L$117,[1]!juhe($T$7,6),$C122,0)</f>
        <v>8.512483733789292</v>
      </c>
      <c r="M122" s="12">
        <f ca="1">[1]!ripe(M$117,[1]!juhe($T$7,6),$C122,0)</f>
        <v>8.719202924438834</v>
      </c>
      <c r="N122" s="12">
        <f ca="1">[1]!ripe(N$117,[1]!juhe($T$7,6),$C122,0)</f>
        <v>8.9254869433102417</v>
      </c>
      <c r="O122" s="107"/>
      <c r="Q122" s="142" t="s">
        <v>212</v>
      </c>
      <c r="R122">
        <v>66</v>
      </c>
      <c r="S122"/>
      <c r="T122"/>
      <c r="U122"/>
      <c r="V122"/>
      <c r="W122"/>
      <c r="X122"/>
      <c r="Y122"/>
      <c r="Z122"/>
    </row>
    <row r="123" spans="1:26" x14ac:dyDescent="0.2">
      <c r="A123" s="108"/>
      <c r="B123" s="113" t="str">
        <f t="shared" ca="1" si="37"/>
        <v>155Y-156Y</v>
      </c>
      <c r="C123" s="106">
        <f t="shared" ca="1" si="38"/>
        <v>351.17594920461329</v>
      </c>
      <c r="D123" s="10" t="s">
        <v>31</v>
      </c>
      <c r="E123" s="12">
        <f ca="1">[1]!ripe(E$117,[1]!juhe($T$7,6),$C123,0)</f>
        <v>6.4323960438735828</v>
      </c>
      <c r="F123" s="12">
        <f ca="1">[1]!ripe(F$117,[1]!juhe($T$7,6),$C123,0)</f>
        <v>6.6163908575073629</v>
      </c>
      <c r="G123" s="12">
        <f ca="1">[1]!ripe(G$117,[1]!juhe($T$7,6),$C123,0)</f>
        <v>6.801848454266203</v>
      </c>
      <c r="H123" s="12">
        <f ca="1">[1]!ripe(H$117,[1]!juhe($T$7,6),$C123,0)</f>
        <v>6.9884166387520956</v>
      </c>
      <c r="I123" s="12">
        <f ca="1">[1]!ripe(I$117,[1]!juhe($T$7,6),$C123,0)</f>
        <v>7.1758110307152068</v>
      </c>
      <c r="J123" s="12">
        <f ca="1">[1]!ripe(J$117,[1]!juhe($T$7,6),$C123,0)</f>
        <v>7.363726673566962</v>
      </c>
      <c r="K123" s="12">
        <f ca="1">[1]!ripe(K$117,[1]!juhe($T$7,6),$C123,0)</f>
        <v>7.5519030694182252</v>
      </c>
      <c r="L123" s="12">
        <f ca="1">[1]!ripe(L$117,[1]!juhe($T$7,6),$C123,0)</f>
        <v>7.7400832227008296</v>
      </c>
      <c r="M123" s="12">
        <f ca="1">[1]!ripe(M$117,[1]!juhe($T$7,6),$C123,0)</f>
        <v>7.9280452546287989</v>
      </c>
      <c r="N123" s="12">
        <f ca="1">[1]!ripe(N$117,[1]!juhe($T$7,6),$C123,0)</f>
        <v>8.1156116011276644</v>
      </c>
      <c r="O123" s="117"/>
      <c r="Q123" s="142" t="s">
        <v>212</v>
      </c>
      <c r="R123">
        <v>67</v>
      </c>
      <c r="S123"/>
      <c r="T123"/>
      <c r="U123"/>
      <c r="V123"/>
      <c r="W123"/>
      <c r="X123"/>
      <c r="Y123"/>
      <c r="Z123"/>
    </row>
    <row r="124" spans="1:26" s="114" customFormat="1" hidden="1" x14ac:dyDescent="0.2">
      <c r="A124" s="187">
        <v>14</v>
      </c>
      <c r="B124" s="188" t="str">
        <f ca="1">R125</f>
        <v>156Y- 164Y</v>
      </c>
      <c r="C124" s="189">
        <f ca="1">S125</f>
        <v>372.01845882629567</v>
      </c>
      <c r="D124" s="118" t="s">
        <v>130</v>
      </c>
      <c r="E124" s="119">
        <f ca="1">[1]!Olekuvorrand($C124,$T125,$Y125,$X125,$W125,E$4,[1]!juhe($T125,6),TRUE)</f>
        <v>78.703820705413818</v>
      </c>
      <c r="F124" s="119">
        <f ca="1">[1]!Olekuvorrand($C124,$T125,$Y125,$X125,$W125,F$4,[1]!juhe($T125,6),TRUE)</f>
        <v>76.605618000030518</v>
      </c>
      <c r="G124" s="119">
        <f ca="1">[1]!Olekuvorrand($C124,$T125,$Y125,$X125,$W125,G$4,[1]!juhe($T125,6),TRUE)</f>
        <v>74.604809284210205</v>
      </c>
      <c r="H124" s="119">
        <f ca="1">[1]!Olekuvorrand($C124,$T125,$Y125,$X125,$W125,H$4,[1]!juhe($T125,6),TRUE)</f>
        <v>72.69817590713501</v>
      </c>
      <c r="I124" s="119">
        <f ca="1">[1]!Olekuvorrand($C124,$T125,$Y125,$X125,$W125,I$4,[1]!juhe($T125,6),TRUE)</f>
        <v>70.881545543670654</v>
      </c>
      <c r="J124" s="119">
        <f ca="1">[1]!Olekuvorrand($C124,$T125,$Y125,$X125,$W125,J$4,[1]!juhe($T125,6),TRUE)</f>
        <v>69.151222705841064</v>
      </c>
      <c r="K124" s="119">
        <f ca="1">[1]!Olekuvorrand($C124,$T125,$Y125,$X125,$W125,K$4,[1]!juhe($T125,6),TRUE)</f>
        <v>67.503154277801514</v>
      </c>
      <c r="L124" s="119">
        <f ca="1">[1]!Olekuvorrand($C124,$T125,$Y125,$X125,$W125,L$4,[1]!juhe($T125,6),TRUE)</f>
        <v>65.933406352996826</v>
      </c>
      <c r="M124" s="119">
        <f ca="1">[1]!Olekuvorrand($C124,$T125,$Y125,$X125,$W125,M$4,[1]!juhe($T125,6),TRUE)</f>
        <v>64.438045024871826</v>
      </c>
      <c r="N124" s="119">
        <f ca="1">[1]!Olekuvorrand($C124,$T125,$Y125,$X125,$W125,N$4,[1]!juhe($T125,6),TRUE)</f>
        <v>63.013136386871338</v>
      </c>
      <c r="O124" s="190">
        <f ca="1">U125</f>
        <v>65</v>
      </c>
      <c r="P124" s="221"/>
      <c r="Q124" s="142"/>
      <c r="R124"/>
      <c r="S124"/>
      <c r="T124"/>
      <c r="U124"/>
      <c r="V124"/>
      <c r="W124"/>
      <c r="X124"/>
      <c r="Y124"/>
      <c r="Z124"/>
    </row>
    <row r="125" spans="1:26" s="114" customFormat="1" x14ac:dyDescent="0.2">
      <c r="A125" s="187"/>
      <c r="B125" s="188"/>
      <c r="C125" s="189"/>
      <c r="D125" s="118" t="s">
        <v>32</v>
      </c>
      <c r="E125" s="119">
        <f ca="1">E124*[1]!juhe($T125,2)/10</f>
        <v>3577.088651061058</v>
      </c>
      <c r="F125" s="119">
        <f ca="1">F124*[1]!juhe($T125,2)/10</f>
        <v>3481.725338101387</v>
      </c>
      <c r="G125" s="119">
        <f ca="1">G124*[1]!juhe($T125,2)/10</f>
        <v>3390.7885819673538</v>
      </c>
      <c r="H125" s="119">
        <f ca="1">H124*[1]!juhe($T125,2)/10</f>
        <v>3304.1320949792862</v>
      </c>
      <c r="I125" s="119">
        <f ca="1">I124*[1]!juhe($T125,2)/10</f>
        <v>3221.5662449598312</v>
      </c>
      <c r="J125" s="119">
        <f ca="1">J124*[1]!juhe($T125,2)/10</f>
        <v>3142.9230719804764</v>
      </c>
      <c r="K125" s="119">
        <f ca="1">K124*[1]!juhe($T125,2)/10</f>
        <v>3068.0183619260788</v>
      </c>
      <c r="L125" s="119">
        <f ca="1">L124*[1]!juhe($T125,2)/10</f>
        <v>2996.6733187437057</v>
      </c>
      <c r="M125" s="119">
        <f ca="1">M124*[1]!juhe($T125,2)/10</f>
        <v>2928.7091463804245</v>
      </c>
      <c r="N125" s="119">
        <f ca="1">N124*[1]!juhe($T125,2)/10</f>
        <v>2863.9470487833023</v>
      </c>
      <c r="O125" s="190"/>
      <c r="P125" s="221"/>
      <c r="Q125" s="142" t="s">
        <v>213</v>
      </c>
      <c r="R125" s="129" t="str">
        <f ca="1">INDIRECT("'"&amp;$S$1&amp;"'!"&amp;$Q125&amp;R$4)</f>
        <v>156Y- 164Y</v>
      </c>
      <c r="S125" s="129">
        <f ca="1">INDIRECT("'"&amp;$S$1&amp;"'!"&amp;$Q125&amp;S$4)</f>
        <v>372.01845882629567</v>
      </c>
      <c r="T125" s="129" t="str">
        <f ca="1">INDIRECT("'"&amp;$S$1&amp;"'!"&amp;$Q125&amp;T$4)</f>
        <v>402-AL1/52-ST1A</v>
      </c>
      <c r="U125" s="129">
        <f ca="1">INDIRECT("'"&amp;$S$1&amp;"'!"&amp;$Q125&amp;U$4)</f>
        <v>65</v>
      </c>
      <c r="V125" s="129">
        <f ca="1">INDIRECT("'"&amp;$S$1&amp;"'!"&amp;$Q125&amp;V$4)</f>
        <v>5</v>
      </c>
      <c r="W125" s="129">
        <f ca="1">INDIRECT("'"&amp;$S$1&amp;"'!"&amp;$Q125&amp;W$4)</f>
        <v>6.8150250199369197E-2</v>
      </c>
      <c r="X125" s="129">
        <f ca="1">INDIRECT("'"&amp;$S$1&amp;"'!"&amp;$Q125&amp;X$4)</f>
        <v>-5</v>
      </c>
      <c r="Y125" s="129">
        <f ca="1">INDIRECT("'"&amp;$S$1&amp;"'!"&amp;$Q125&amp;Y$4)</f>
        <v>115.29558897018433</v>
      </c>
      <c r="Z125" s="129">
        <v>3</v>
      </c>
    </row>
    <row r="126" spans="1:26" s="114" customFormat="1" x14ac:dyDescent="0.2">
      <c r="A126" s="187"/>
      <c r="B126" s="188"/>
      <c r="C126" s="189"/>
      <c r="D126" s="118" t="str">
        <f>CONCATENATE(Z125,"T, [daN]")</f>
        <v>3T, [daN]</v>
      </c>
      <c r="E126" s="119">
        <f ca="1">E125*$Z125</f>
        <v>10731.265953183174</v>
      </c>
      <c r="F126" s="119">
        <f t="shared" ref="F126:N126" ca="1" si="39">F125*$Z125</f>
        <v>10445.176014304161</v>
      </c>
      <c r="G126" s="119">
        <f t="shared" ca="1" si="39"/>
        <v>10172.365745902061</v>
      </c>
      <c r="H126" s="119">
        <f t="shared" ca="1" si="39"/>
        <v>9912.3962849378586</v>
      </c>
      <c r="I126" s="119">
        <f t="shared" ca="1" si="39"/>
        <v>9664.6987348794937</v>
      </c>
      <c r="J126" s="119">
        <f t="shared" ca="1" si="39"/>
        <v>9428.7692159414291</v>
      </c>
      <c r="K126" s="119">
        <f t="shared" ca="1" si="39"/>
        <v>9204.0550857782364</v>
      </c>
      <c r="L126" s="119">
        <f t="shared" ca="1" si="39"/>
        <v>8990.0199562311172</v>
      </c>
      <c r="M126" s="119">
        <f t="shared" ca="1" si="39"/>
        <v>8786.1274391412735</v>
      </c>
      <c r="N126" s="119">
        <f t="shared" ca="1" si="39"/>
        <v>8591.8411463499069</v>
      </c>
      <c r="O126" s="190"/>
      <c r="P126" s="221"/>
      <c r="Q126" s="142" t="s">
        <v>213</v>
      </c>
      <c r="R126"/>
      <c r="S126"/>
      <c r="T126"/>
      <c r="U126"/>
      <c r="V126"/>
      <c r="W126"/>
      <c r="X126"/>
      <c r="Y126"/>
      <c r="Z126"/>
    </row>
    <row r="127" spans="1:26" s="114" customFormat="1" x14ac:dyDescent="0.2">
      <c r="A127" s="187"/>
      <c r="B127" s="188"/>
      <c r="C127" s="189"/>
      <c r="D127" s="118" t="s">
        <v>31</v>
      </c>
      <c r="E127" s="120">
        <f ca="1">[1]!ripe([1]!Olekuvorrand($C124,$T125,$Y125,$X125,$W125,E$4,[1]!juhe($T125,6),TRUE),[1]!juhe($T125,6),$C124,0)</f>
        <v>7.2756394553963517</v>
      </c>
      <c r="F127" s="120">
        <f ca="1">[1]!ripe([1]!Olekuvorrand($C124,$T125,$Y125,$X125,$W125,F$4,[1]!juhe($T125,6),TRUE),[1]!juhe($T125,6),$C124,0)</f>
        <v>7.4749168293965198</v>
      </c>
      <c r="G127" s="120">
        <f ca="1">[1]!ripe([1]!Olekuvorrand($C124,$T125,$Y125,$X125,$W125,G$4,[1]!juhe($T125,6),TRUE),[1]!juhe($T125,6),$C124,0)</f>
        <v>7.6753848539887883</v>
      </c>
      <c r="H127" s="120">
        <f ca="1">[1]!ripe([1]!Olekuvorrand($C124,$T125,$Y125,$X125,$W125,H$4,[1]!juhe($T125,6),TRUE),[1]!juhe($T125,6),$C124,0)</f>
        <v>7.8766848833486192</v>
      </c>
      <c r="I127" s="120">
        <f ca="1">[1]!ripe([1]!Olekuvorrand($C124,$T125,$Y125,$X125,$W125,I$4,[1]!juhe($T125,6),TRUE),[1]!juhe($T125,6),$C124,0)</f>
        <v>8.0785572439578548</v>
      </c>
      <c r="J127" s="120">
        <f ca="1">[1]!ripe([1]!Olekuvorrand($C124,$T125,$Y125,$X125,$W125,J$4,[1]!juhe($T125,6),TRUE),[1]!juhe($T125,6),$C124,0)</f>
        <v>8.2807013500049216</v>
      </c>
      <c r="K127" s="120">
        <f ca="1">[1]!ripe([1]!Olekuvorrand($C124,$T125,$Y125,$X125,$W125,K$4,[1]!juhe($T125,6),TRUE),[1]!juhe($T125,6),$C124,0)</f>
        <v>8.4828720871056547</v>
      </c>
      <c r="L127" s="120">
        <f ca="1">[1]!ripe([1]!Olekuvorrand($C124,$T125,$Y125,$X125,$W125,L$4,[1]!juhe($T125,6),TRUE),[1]!juhe($T125,6),$C124,0)</f>
        <v>8.684832998753782</v>
      </c>
      <c r="M127" s="120">
        <f ca="1">[1]!ripe([1]!Olekuvorrand($C124,$T125,$Y125,$X125,$W125,M$4,[1]!juhe($T125,6),TRUE),[1]!juhe($T125,6),$C124,0)</f>
        <v>8.8863748581095034</v>
      </c>
      <c r="N127" s="120">
        <f ca="1">[1]!ripe([1]!Olekuvorrand($C124,$T125,$Y125,$X125,$W125,N$4,[1]!juhe($T125,6),TRUE),[1]!juhe($T125,6),$C124,0)</f>
        <v>9.0873214070654242</v>
      </c>
      <c r="O127" s="190"/>
      <c r="P127" s="221"/>
      <c r="Q127" s="142" t="s">
        <v>213</v>
      </c>
      <c r="R127"/>
      <c r="S127"/>
      <c r="T127"/>
      <c r="U127"/>
      <c r="V127"/>
      <c r="W127"/>
      <c r="X127"/>
      <c r="Y127"/>
      <c r="Z127"/>
    </row>
    <row r="128" spans="1:26" s="114" customFormat="1" x14ac:dyDescent="0.2">
      <c r="A128" s="187"/>
      <c r="B128" s="188"/>
      <c r="C128" s="189"/>
      <c r="D128" s="118" t="s">
        <v>195</v>
      </c>
      <c r="E128" s="120">
        <f ca="1">[1]!ripe([1]!Olekuvorrand($C124,$T125,$Y125,$X125,$W125,E$4,[1]!juhe($T125,6)),[1]!juhe($T125,6),$C124,0)</f>
        <v>7.7018810857602373</v>
      </c>
      <c r="F128" s="120">
        <f ca="1">[1]!ripe([1]!Olekuvorrand($C124,$T125,$Y125,$X125,$W125,F$4,[1]!juhe($T125,6)),[1]!juhe($T125,6),$C124,0)</f>
        <v>7.9252890271833447</v>
      </c>
      <c r="G128" s="120">
        <f ca="1">[1]!ripe([1]!Olekuvorrand($C124,$T125,$Y125,$X125,$W125,G$4,[1]!juhe($T125,6)),[1]!juhe($T125,6),$C124,0)</f>
        <v>8.1480337064246022</v>
      </c>
      <c r="H128" s="120">
        <f ca="1">[1]!ripe([1]!Olekuvorrand($C124,$T125,$Y125,$X125,$W125,H$4,[1]!juhe($T125,6)),[1]!juhe($T125,6),$C124,0)</f>
        <v>8.3698127497497072</v>
      </c>
      <c r="I128" s="120">
        <f ca="1">[1]!ripe([1]!Olekuvorrand($C124,$T125,$Y125,$X125,$W125,I$4,[1]!juhe($T125,6)),[1]!juhe($T125,6),$C124,0)</f>
        <v>8.5903851166401477</v>
      </c>
      <c r="J128" s="120">
        <f ca="1">[1]!ripe([1]!Olekuvorrand($C124,$T125,$Y125,$X125,$W125,J$4,[1]!juhe($T125,6)),[1]!juhe($T125,6),$C124,0)</f>
        <v>8.8095483725899868</v>
      </c>
      <c r="K128" s="120">
        <f ca="1">[1]!ripe([1]!Olekuvorrand($C124,$T125,$Y125,$X125,$W125,K$4,[1]!juhe($T125,6)),[1]!juhe($T125,6),$C124,0)</f>
        <v>9.0271226578043944</v>
      </c>
      <c r="L128" s="120">
        <f ca="1">[1]!ripe([1]!Olekuvorrand($C124,$T125,$Y125,$X125,$W125,L$4,[1]!juhe($T125,6)),[1]!juhe($T125,6),$C124,0)</f>
        <v>9.2429820072990179</v>
      </c>
      <c r="M128" s="120">
        <f ca="1">[1]!ripe([1]!Olekuvorrand($C124,$T125,$Y125,$X125,$W125,M$4,[1]!juhe($T125,6)),[1]!juhe($T125,6),$C124,0)</f>
        <v>9.4570012981412379</v>
      </c>
      <c r="N128" s="120">
        <f ca="1">[1]!ripe([1]!Olekuvorrand($C124,$T125,$Y125,$X125,$W125,N$4,[1]!juhe($T125,6)),[1]!juhe($T125,6),$C124,0)</f>
        <v>9.6690844108996696</v>
      </c>
      <c r="O128" s="190"/>
      <c r="P128" s="221"/>
      <c r="Q128" s="142" t="s">
        <v>213</v>
      </c>
      <c r="R128"/>
      <c r="S128"/>
      <c r="T128"/>
      <c r="U128"/>
      <c r="V128"/>
      <c r="W128"/>
      <c r="X128"/>
      <c r="Y128"/>
      <c r="Z128"/>
    </row>
    <row r="129" spans="1:26" x14ac:dyDescent="0.2">
      <c r="A129" s="105"/>
      <c r="B129" s="113" t="str">
        <f t="shared" ref="B129:B136" ca="1" si="40">INDIRECT("Visangud!C" &amp; R129)</f>
        <v>156Y-157Y</v>
      </c>
      <c r="C129" s="106">
        <f t="shared" ref="C129:C136" ca="1" si="41">INDIRECT("Visangud!"&amp;Q129&amp;R129)</f>
        <v>433.08823546734413</v>
      </c>
      <c r="D129" s="10" t="s">
        <v>31</v>
      </c>
      <c r="E129" s="12">
        <f ca="1">[1]!ripe(E$124,[1]!juhe($T$7,6),$C129,0)</f>
        <v>9.8604097876568311</v>
      </c>
      <c r="F129" s="12">
        <f ca="1">[1]!ripe(F$124,[1]!juhe($T$7,6),$C129,0)</f>
        <v>10.130483171734761</v>
      </c>
      <c r="G129" s="12">
        <f ca="1">[1]!ripe(G$124,[1]!juhe($T$7,6),$C129,0)</f>
        <v>10.402170201296913</v>
      </c>
      <c r="H129" s="12">
        <f ca="1">[1]!ripe(H$124,[1]!juhe($T$7,6),$C129,0)</f>
        <v>10.674984816688978</v>
      </c>
      <c r="I129" s="12">
        <f ca="1">[1]!ripe(I$124,[1]!juhe($T$7,6),$C129,0)</f>
        <v>10.948575091827241</v>
      </c>
      <c r="J129" s="12">
        <f ca="1">[1]!ripe(J$124,[1]!juhe($T$7,6),$C129,0)</f>
        <v>11.222533653683309</v>
      </c>
      <c r="K129" s="12">
        <f ca="1">[1]!ripe(K$124,[1]!juhe($T$7,6),$C129,0)</f>
        <v>11.496528307638748</v>
      </c>
      <c r="L129" s="12">
        <f ca="1">[1]!ripe(L$124,[1]!juhe($T$7,6),$C129,0)</f>
        <v>11.77023859278245</v>
      </c>
      <c r="M129" s="12">
        <f ca="1">[1]!ripe(M$124,[1]!juhe($T$7,6),$C129,0)</f>
        <v>12.043380951580854</v>
      </c>
      <c r="N129" s="12">
        <f ca="1">[1]!ripe(N$124,[1]!juhe($T$7,6),$C129,0)</f>
        <v>12.315716507825496</v>
      </c>
      <c r="O129" s="107"/>
      <c r="Q129" s="142" t="s">
        <v>213</v>
      </c>
      <c r="R129">
        <v>68</v>
      </c>
      <c r="S129"/>
      <c r="T129"/>
      <c r="U129"/>
      <c r="V129"/>
      <c r="W129"/>
      <c r="X129"/>
      <c r="Y129"/>
      <c r="Z129"/>
    </row>
    <row r="130" spans="1:26" x14ac:dyDescent="0.2">
      <c r="A130" s="153"/>
      <c r="B130" s="113" t="str">
        <f t="shared" ca="1" si="40"/>
        <v>157Y-158Y</v>
      </c>
      <c r="C130" s="106">
        <f t="shared" ca="1" si="41"/>
        <v>258.13248245795143</v>
      </c>
      <c r="D130" s="10" t="s">
        <v>31</v>
      </c>
      <c r="E130" s="12">
        <f ca="1">[1]!ripe(E$124,[1]!juhe($T$7,6),$C130,0)</f>
        <v>3.502898125813493</v>
      </c>
      <c r="F130" s="12">
        <f ca="1">[1]!ripe(F$124,[1]!juhe($T$7,6),$C130,0)</f>
        <v>3.5988413544714883</v>
      </c>
      <c r="G130" s="12">
        <f ca="1">[1]!ripe(G$124,[1]!juhe($T$7,6),$C130,0)</f>
        <v>3.6953578286501192</v>
      </c>
      <c r="H130" s="12">
        <f ca="1">[1]!ripe(H$124,[1]!juhe($T$7,6),$C130,0)</f>
        <v>3.792274876270965</v>
      </c>
      <c r="I130" s="12">
        <f ca="1">[1]!ripe(I$124,[1]!juhe($T$7,6),$C130,0)</f>
        <v>3.8894674760371819</v>
      </c>
      <c r="J130" s="12">
        <f ca="1">[1]!ripe(J$124,[1]!juhe($T$7,6),$C130,0)</f>
        <v>3.9867909091948444</v>
      </c>
      <c r="K130" s="12">
        <f ca="1">[1]!ripe(K$124,[1]!juhe($T$7,6),$C130,0)</f>
        <v>4.084127164025233</v>
      </c>
      <c r="L130" s="12">
        <f ca="1">[1]!ripe(L$124,[1]!juhe($T$7,6),$C130,0)</f>
        <v>4.1813623971943388</v>
      </c>
      <c r="M130" s="12">
        <f ca="1">[1]!ripe(M$124,[1]!juhe($T$7,6),$C130,0)</f>
        <v>4.2783958752464288</v>
      </c>
      <c r="N130" s="12">
        <f ca="1">[1]!ripe(N$124,[1]!juhe($T$7,6),$C130,0)</f>
        <v>4.3751427377100853</v>
      </c>
      <c r="O130" s="154"/>
      <c r="Q130" s="142" t="s">
        <v>213</v>
      </c>
      <c r="R130">
        <v>69</v>
      </c>
      <c r="S130"/>
      <c r="T130"/>
      <c r="U130"/>
      <c r="V130"/>
      <c r="W130"/>
      <c r="X130"/>
      <c r="Y130"/>
      <c r="Z130"/>
    </row>
    <row r="131" spans="1:26" x14ac:dyDescent="0.2">
      <c r="A131" s="153"/>
      <c r="B131" s="113" t="str">
        <f t="shared" ca="1" si="40"/>
        <v>158Y-159Y</v>
      </c>
      <c r="C131" s="106">
        <f t="shared" ca="1" si="41"/>
        <v>349.83137152091001</v>
      </c>
      <c r="D131" s="10" t="s">
        <v>31</v>
      </c>
      <c r="E131" s="12">
        <f ca="1">[1]!ripe(E$124,[1]!juhe($T$7,6),$C131,0)</f>
        <v>6.4336835604824794</v>
      </c>
      <c r="F131" s="12">
        <f ca="1">[1]!ripe(F$124,[1]!juhe($T$7,6),$C131,0)</f>
        <v>6.6099000391770186</v>
      </c>
      <c r="G131" s="12">
        <f ca="1">[1]!ripe(G$124,[1]!juhe($T$7,6),$C131,0)</f>
        <v>6.7871693832846436</v>
      </c>
      <c r="H131" s="12">
        <f ca="1">[1]!ripe(H$124,[1]!juhe($T$7,6),$C131,0)</f>
        <v>6.9651744504071509</v>
      </c>
      <c r="I131" s="12">
        <f ca="1">[1]!ripe(I$124,[1]!juhe($T$7,6),$C131,0)</f>
        <v>7.1436856171203553</v>
      </c>
      <c r="J131" s="12">
        <f ca="1">[1]!ripe(J$124,[1]!juhe($T$7,6),$C131,0)</f>
        <v>7.3224370821835176</v>
      </c>
      <c r="K131" s="12">
        <f ca="1">[1]!ripe(K$124,[1]!juhe($T$7,6),$C131,0)</f>
        <v>7.5012120964856459</v>
      </c>
      <c r="L131" s="12">
        <f ca="1">[1]!ripe(L$124,[1]!juhe($T$7,6),$C131,0)</f>
        <v>7.6798015668815269</v>
      </c>
      <c r="M131" s="12">
        <f ca="1">[1]!ripe(M$124,[1]!juhe($T$7,6),$C131,0)</f>
        <v>7.8580204788046899</v>
      </c>
      <c r="N131" s="12">
        <f ca="1">[1]!ripe(N$124,[1]!juhe($T$7,6),$C131,0)</f>
        <v>8.0357129711937283</v>
      </c>
      <c r="O131" s="154"/>
      <c r="Q131" s="142" t="s">
        <v>213</v>
      </c>
      <c r="R131">
        <v>70</v>
      </c>
      <c r="S131"/>
      <c r="T131"/>
      <c r="U131"/>
      <c r="V131"/>
      <c r="W131"/>
      <c r="X131"/>
      <c r="Y131"/>
      <c r="Z131"/>
    </row>
    <row r="132" spans="1:26" x14ac:dyDescent="0.2">
      <c r="A132" s="153"/>
      <c r="B132" s="113" t="str">
        <f t="shared" ca="1" si="40"/>
        <v>159Y-160Y</v>
      </c>
      <c r="C132" s="106">
        <f t="shared" ca="1" si="41"/>
        <v>263.13706732408747</v>
      </c>
      <c r="D132" s="10" t="s">
        <v>31</v>
      </c>
      <c r="E132" s="12">
        <f ca="1">[1]!ripe(E$124,[1]!juhe($T$7,6),$C132,0)</f>
        <v>3.6400407973772997</v>
      </c>
      <c r="F132" s="12">
        <f ca="1">[1]!ripe(F$124,[1]!juhe($T$7,6),$C132,0)</f>
        <v>3.7397403187460796</v>
      </c>
      <c r="G132" s="12">
        <f ca="1">[1]!ripe(G$124,[1]!juhe($T$7,6),$C132,0)</f>
        <v>3.8400355288865797</v>
      </c>
      <c r="H132" s="12">
        <f ca="1">[1]!ripe(H$124,[1]!juhe($T$7,6),$C132,0)</f>
        <v>3.9407469954009846</v>
      </c>
      <c r="I132" s="12">
        <f ca="1">[1]!ripe(I$124,[1]!juhe($T$7,6),$C132,0)</f>
        <v>4.0417448022584228</v>
      </c>
      <c r="J132" s="12">
        <f ca="1">[1]!ripe(J$124,[1]!juhe($T$7,6),$C132,0)</f>
        <v>4.1428785647918227</v>
      </c>
      <c r="K132" s="12">
        <f ca="1">[1]!ripe(K$124,[1]!juhe($T$7,6),$C132,0)</f>
        <v>4.2440256509818459</v>
      </c>
      <c r="L132" s="12">
        <f ca="1">[1]!ripe(L$124,[1]!juhe($T$7,6),$C132,0)</f>
        <v>4.3450677603911352</v>
      </c>
      <c r="M132" s="12">
        <f ca="1">[1]!ripe(M$124,[1]!juhe($T$7,6),$C132,0)</f>
        <v>4.4459002157280976</v>
      </c>
      <c r="N132" s="12">
        <f ca="1">[1]!ripe(N$124,[1]!juhe($T$7,6),$C132,0)</f>
        <v>4.5464348341318734</v>
      </c>
      <c r="O132" s="154"/>
      <c r="Q132" s="142" t="s">
        <v>213</v>
      </c>
      <c r="R132">
        <v>71</v>
      </c>
      <c r="S132"/>
      <c r="T132"/>
      <c r="U132"/>
      <c r="V132"/>
      <c r="W132"/>
      <c r="X132"/>
      <c r="Y132"/>
      <c r="Z132"/>
    </row>
    <row r="133" spans="1:26" x14ac:dyDescent="0.2">
      <c r="A133" s="153"/>
      <c r="B133" s="113" t="str">
        <f t="shared" ca="1" si="40"/>
        <v>160Y-161Y</v>
      </c>
      <c r="C133" s="106">
        <f t="shared" ca="1" si="41"/>
        <v>266.90000000004108</v>
      </c>
      <c r="D133" s="10" t="s">
        <v>31</v>
      </c>
      <c r="E133" s="12">
        <f ca="1">[1]!ripe(E$124,[1]!juhe($T$7,6),$C133,0)</f>
        <v>3.7448923538068661</v>
      </c>
      <c r="F133" s="12">
        <f ca="1">[1]!ripe(F$124,[1]!juhe($T$7,6),$C133,0)</f>
        <v>3.8474637248533559</v>
      </c>
      <c r="G133" s="12">
        <f ca="1">[1]!ripe(G$124,[1]!juhe($T$7,6),$C133,0)</f>
        <v>3.9506479435162984</v>
      </c>
      <c r="H133" s="12">
        <f ca="1">[1]!ripe(H$124,[1]!juhe($T$7,6),$C133,0)</f>
        <v>4.0542604088387248</v>
      </c>
      <c r="I133" s="12">
        <f ca="1">[1]!ripe(I$124,[1]!juhe($T$7,6),$C133,0)</f>
        <v>4.158167462552024</v>
      </c>
      <c r="J133" s="12">
        <f ca="1">[1]!ripe(J$124,[1]!juhe($T$7,6),$C133,0)</f>
        <v>4.2622143881513006</v>
      </c>
      <c r="K133" s="12">
        <f ca="1">[1]!ripe(K$124,[1]!juhe($T$7,6),$C133,0)</f>
        <v>4.3662750211957935</v>
      </c>
      <c r="L133" s="12">
        <f ca="1">[1]!ripe(L$124,[1]!juhe($T$7,6),$C133,0)</f>
        <v>4.4702276535981555</v>
      </c>
      <c r="M133" s="12">
        <f ca="1">[1]!ripe(M$124,[1]!juhe($T$7,6),$C133,0)</f>
        <v>4.5739645928321977</v>
      </c>
      <c r="N133" s="12">
        <f ca="1">[1]!ripe(N$124,[1]!juhe($T$7,6),$C133,0)</f>
        <v>4.6773951159253624</v>
      </c>
      <c r="O133" s="154"/>
      <c r="Q133" s="142" t="s">
        <v>213</v>
      </c>
      <c r="R133">
        <v>72</v>
      </c>
      <c r="S133"/>
      <c r="T133"/>
      <c r="U133"/>
      <c r="V133"/>
      <c r="W133"/>
      <c r="X133"/>
      <c r="Y133"/>
      <c r="Z133"/>
    </row>
    <row r="134" spans="1:26" x14ac:dyDescent="0.2">
      <c r="A134" s="153"/>
      <c r="B134" s="113" t="str">
        <f t="shared" ca="1" si="40"/>
        <v>161Y-162Y</v>
      </c>
      <c r="C134" s="106">
        <f t="shared" ca="1" si="41"/>
        <v>418.92057600454484</v>
      </c>
      <c r="D134" s="10" t="s">
        <v>31</v>
      </c>
      <c r="E134" s="12">
        <f ca="1">[1]!ripe(E$124,[1]!juhe($T$7,6),$C134,0)</f>
        <v>9.2258327007429344</v>
      </c>
      <c r="F134" s="12">
        <f ca="1">[1]!ripe(F$124,[1]!juhe($T$7,6),$C134,0)</f>
        <v>9.478525226924301</v>
      </c>
      <c r="G134" s="12">
        <f ca="1">[1]!ripe(G$124,[1]!juhe($T$7,6),$C134,0)</f>
        <v>9.7327275507303437</v>
      </c>
      <c r="H134" s="12">
        <f ca="1">[1]!ripe(H$124,[1]!juhe($T$7,6),$C134,0)</f>
        <v>9.9879848933892053</v>
      </c>
      <c r="I134" s="12">
        <f ca="1">[1]!ripe(I$124,[1]!juhe($T$7,6),$C134,0)</f>
        <v>10.24396797739201</v>
      </c>
      <c r="J134" s="12">
        <f ca="1">[1]!ripe(J$124,[1]!juhe($T$7,6),$C134,0)</f>
        <v>10.500295646631896</v>
      </c>
      <c r="K134" s="12">
        <f ca="1">[1]!ripe(K$124,[1]!juhe($T$7,6),$C134,0)</f>
        <v>10.756657085225973</v>
      </c>
      <c r="L134" s="12">
        <f ca="1">[1]!ripe(L$124,[1]!juhe($T$7,6),$C134,0)</f>
        <v>11.012752455863556</v>
      </c>
      <c r="M134" s="12">
        <f ca="1">[1]!ripe(M$124,[1]!juhe($T$7,6),$C134,0)</f>
        <v>11.268316449655666</v>
      </c>
      <c r="N134" s="12">
        <f ca="1">[1]!ripe(N$124,[1]!juhe($T$7,6),$C134,0)</f>
        <v>11.523125563524543</v>
      </c>
      <c r="O134" s="154"/>
      <c r="Q134" s="142" t="s">
        <v>213</v>
      </c>
      <c r="R134">
        <v>73</v>
      </c>
      <c r="S134"/>
      <c r="T134"/>
      <c r="U134"/>
      <c r="V134"/>
      <c r="W134"/>
      <c r="X134"/>
      <c r="Y134"/>
      <c r="Z134"/>
    </row>
    <row r="135" spans="1:26" x14ac:dyDescent="0.2">
      <c r="A135" s="153"/>
      <c r="B135" s="113" t="str">
        <f t="shared" ca="1" si="40"/>
        <v>162Y-163Y</v>
      </c>
      <c r="C135" s="106">
        <f t="shared" ca="1" si="41"/>
        <v>408.63794953476696</v>
      </c>
      <c r="D135" s="10" t="s">
        <v>31</v>
      </c>
      <c r="E135" s="12">
        <f ca="1">[1]!ripe(E$124,[1]!juhe($T$7,6),$C135,0)</f>
        <v>8.7784852489364216</v>
      </c>
      <c r="F135" s="12">
        <f ca="1">[1]!ripe(F$124,[1]!juhe($T$7,6),$C135,0)</f>
        <v>9.0189250754055248</v>
      </c>
      <c r="G135" s="12">
        <f ca="1">[1]!ripe(G$124,[1]!juhe($T$7,6),$C135,0)</f>
        <v>9.2608014915686976</v>
      </c>
      <c r="H135" s="12">
        <f ca="1">[1]!ripe(H$124,[1]!juhe($T$7,6),$C135,0)</f>
        <v>9.5036817702272387</v>
      </c>
      <c r="I135" s="12">
        <f ca="1">[1]!ripe(I$124,[1]!juhe($T$7,6),$C135,0)</f>
        <v>9.7472526000684212</v>
      </c>
      <c r="J135" s="12">
        <f ca="1">[1]!ripe(J$124,[1]!juhe($T$7,6),$C135,0)</f>
        <v>9.9911513067006563</v>
      </c>
      <c r="K135" s="12">
        <f ca="1">[1]!ripe(K$124,[1]!juhe($T$7,6),$C135,0)</f>
        <v>10.235082145259327</v>
      </c>
      <c r="L135" s="12">
        <f ca="1">[1]!ripe(L$124,[1]!juhe($T$7,6),$C135,0)</f>
        <v>10.47875981711673</v>
      </c>
      <c r="M135" s="12">
        <f ca="1">[1]!ripe(M$124,[1]!juhe($T$7,6),$C135,0)</f>
        <v>10.721931877833011</v>
      </c>
      <c r="N135" s="12">
        <f ca="1">[1]!ripe(N$124,[1]!juhe($T$7,6),$C135,0)</f>
        <v>10.964385661675456</v>
      </c>
      <c r="O135" s="154"/>
      <c r="Q135" s="142" t="s">
        <v>213</v>
      </c>
      <c r="R135">
        <v>74</v>
      </c>
      <c r="S135"/>
      <c r="T135"/>
      <c r="U135"/>
      <c r="V135"/>
      <c r="W135"/>
      <c r="X135"/>
      <c r="Y135"/>
      <c r="Z135"/>
    </row>
    <row r="136" spans="1:26" x14ac:dyDescent="0.2">
      <c r="A136" s="153"/>
      <c r="B136" s="113" t="str">
        <f t="shared" ca="1" si="40"/>
        <v>163Y-164Y</v>
      </c>
      <c r="C136" s="106">
        <f t="shared" ca="1" si="41"/>
        <v>408.78360290002473</v>
      </c>
      <c r="D136" s="10" t="s">
        <v>31</v>
      </c>
      <c r="E136" s="12">
        <f ca="1">[1]!ripe(E$124,[1]!juhe($T$7,6),$C136,0)</f>
        <v>8.7847443043782381</v>
      </c>
      <c r="F136" s="12">
        <f ca="1">[1]!ripe(F$124,[1]!juhe($T$7,6),$C136,0)</f>
        <v>9.0253555643192467</v>
      </c>
      <c r="G136" s="12">
        <f ca="1">[1]!ripe(G$124,[1]!juhe($T$7,6),$C136,0)</f>
        <v>9.267404438242032</v>
      </c>
      <c r="H136" s="12">
        <f ca="1">[1]!ripe(H$124,[1]!juhe($T$7,6),$C136,0)</f>
        <v>9.5104578904136279</v>
      </c>
      <c r="I136" s="12">
        <f ca="1">[1]!ripe(I$124,[1]!juhe($T$7,6),$C136,0)</f>
        <v>9.7542023861305012</v>
      </c>
      <c r="J136" s="12">
        <f ca="1">[1]!ripe(J$124,[1]!juhe($T$7,6),$C136,0)</f>
        <v>9.998274992414407</v>
      </c>
      <c r="K136" s="12">
        <f ca="1">[1]!ripe(K$124,[1]!juhe($T$7,6),$C136,0)</f>
        <v>10.242379753534797</v>
      </c>
      <c r="L136" s="12">
        <f ca="1">[1]!ripe(L$124,[1]!juhe($T$7,6),$C136,0)</f>
        <v>10.486231167446192</v>
      </c>
      <c r="M136" s="12">
        <f ca="1">[1]!ripe(M$124,[1]!juhe($T$7,6),$C136,0)</f>
        <v>10.729576609715982</v>
      </c>
      <c r="N136" s="12">
        <f ca="1">[1]!ripe(N$124,[1]!juhe($T$7,6),$C136,0)</f>
        <v>10.972203262980898</v>
      </c>
      <c r="O136" s="154"/>
      <c r="Q136" s="142" t="s">
        <v>213</v>
      </c>
      <c r="R136">
        <v>75</v>
      </c>
      <c r="S136"/>
      <c r="T136"/>
      <c r="U136"/>
      <c r="V136"/>
      <c r="W136"/>
      <c r="X136"/>
      <c r="Y136"/>
      <c r="Z136"/>
    </row>
    <row r="137" spans="1:26" s="114" customFormat="1" hidden="1" x14ac:dyDescent="0.2">
      <c r="A137" s="187">
        <v>15</v>
      </c>
      <c r="B137" s="188" t="str">
        <f ca="1">R138</f>
        <v>164Y - L507 165</v>
      </c>
      <c r="C137" s="189">
        <f ca="1">S138</f>
        <v>426.99285708293951</v>
      </c>
      <c r="D137" s="118" t="s">
        <v>130</v>
      </c>
      <c r="E137" s="119">
        <f ca="1">[1]!Olekuvorrand($C137,$T138,$Y138,$X138,$W138,E$4,[1]!juhe($T138,6),TRUE)</f>
        <v>76.199710369110107</v>
      </c>
      <c r="F137" s="119">
        <f ca="1">[1]!Olekuvorrand($C137,$T138,$Y138,$X138,$W138,F$4,[1]!juhe($T138,6),TRUE)</f>
        <v>74.531018733978271</v>
      </c>
      <c r="G137" s="119">
        <f ca="1">[1]!Olekuvorrand($C137,$T138,$Y138,$X138,$W138,G$4,[1]!juhe($T138,6),TRUE)</f>
        <v>72.934925556182861</v>
      </c>
      <c r="H137" s="119">
        <f ca="1">[1]!Olekuvorrand($C137,$T138,$Y138,$X138,$W138,H$4,[1]!juhe($T138,6),TRUE)</f>
        <v>71.407973766326904</v>
      </c>
      <c r="I137" s="119">
        <f ca="1">[1]!Olekuvorrand($C137,$T138,$Y138,$X138,$W138,I$4,[1]!juhe($T138,6),TRUE)</f>
        <v>69.946944713592529</v>
      </c>
      <c r="J137" s="119">
        <f ca="1">[1]!Olekuvorrand($C137,$T138,$Y138,$X138,$W138,J$4,[1]!juhe($T138,6),TRUE)</f>
        <v>68.548738956451416</v>
      </c>
      <c r="K137" s="119">
        <f ca="1">[1]!Olekuvorrand($C137,$T138,$Y138,$X138,$W138,K$4,[1]!juhe($T138,6),TRUE)</f>
        <v>67.210257053375244</v>
      </c>
      <c r="L137" s="119">
        <f ca="1">[1]!Olekuvorrand($C137,$T138,$Y138,$X138,$W138,L$4,[1]!juhe($T138,6),TRUE)</f>
        <v>65.928399562835693</v>
      </c>
      <c r="M137" s="119">
        <f ca="1">[1]!Olekuvorrand($C137,$T138,$Y138,$X138,$W138,M$4,[1]!juhe($T138,6),TRUE)</f>
        <v>64.700424671173096</v>
      </c>
      <c r="N137" s="119">
        <f ca="1">[1]!Olekuvorrand($C137,$T138,$Y138,$X138,$W138,N$4,[1]!juhe($T138,6),TRUE)</f>
        <v>63.523352146148682</v>
      </c>
      <c r="O137" s="190">
        <f ca="1">U138</f>
        <v>65</v>
      </c>
      <c r="P137" s="221"/>
      <c r="Q137" s="142"/>
      <c r="R137"/>
      <c r="S137"/>
      <c r="T137"/>
      <c r="U137"/>
      <c r="V137"/>
      <c r="W137"/>
      <c r="X137"/>
      <c r="Y137"/>
      <c r="Z137"/>
    </row>
    <row r="138" spans="1:26" s="114" customFormat="1" x14ac:dyDescent="0.2">
      <c r="A138" s="187"/>
      <c r="B138" s="188"/>
      <c r="C138" s="189"/>
      <c r="D138" s="118" t="s">
        <v>32</v>
      </c>
      <c r="E138" s="119">
        <f ca="1">E137*[1]!juhe($T138,2)/10</f>
        <v>3463.2768362760544</v>
      </c>
      <c r="F138" s="119">
        <f ca="1">F137*[1]!juhe($T138,2)/10</f>
        <v>3387.4348014593124</v>
      </c>
      <c r="G138" s="119">
        <f ca="1">G137*[1]!juhe($T138,2)/10</f>
        <v>3314.892366528511</v>
      </c>
      <c r="H138" s="119">
        <f ca="1">H137*[1]!juhe($T138,2)/10</f>
        <v>3245.4924076795578</v>
      </c>
      <c r="I138" s="119">
        <f ca="1">I137*[1]!juhe($T138,2)/10</f>
        <v>3179.0886372327805</v>
      </c>
      <c r="J138" s="119">
        <f ca="1">J137*[1]!juhe($T138,2)/10</f>
        <v>3115.5401855707169</v>
      </c>
      <c r="K138" s="119">
        <f ca="1">K137*[1]!juhe($T138,2)/10</f>
        <v>3054.7061830759048</v>
      </c>
      <c r="L138" s="119">
        <f ca="1">L137*[1]!juhe($T138,2)/10</f>
        <v>2996.4457601308823</v>
      </c>
      <c r="M138" s="119">
        <f ca="1">M137*[1]!juhe($T138,2)/10</f>
        <v>2940.6343013048172</v>
      </c>
      <c r="N138" s="119">
        <f ca="1">N137*[1]!juhe($T138,2)/10</f>
        <v>2887.1363550424576</v>
      </c>
      <c r="O138" s="190"/>
      <c r="P138" s="221"/>
      <c r="Q138" s="142" t="s">
        <v>214</v>
      </c>
      <c r="R138" s="129" t="str">
        <f ca="1">INDIRECT("'"&amp;$S$1&amp;"'!"&amp;$Q138&amp;R$4)</f>
        <v>164Y - L507 165</v>
      </c>
      <c r="S138" s="129">
        <f ca="1">INDIRECT("'"&amp;$S$1&amp;"'!"&amp;$Q138&amp;S$4)</f>
        <v>426.99285708293951</v>
      </c>
      <c r="T138" s="129" t="str">
        <f ca="1">INDIRECT("'"&amp;$S$1&amp;"'!"&amp;$Q138&amp;T$4)</f>
        <v>402-AL1/52-ST1A</v>
      </c>
      <c r="U138" s="129">
        <f ca="1">INDIRECT("'"&amp;$S$1&amp;"'!"&amp;$Q138&amp;U$4)</f>
        <v>65</v>
      </c>
      <c r="V138" s="129">
        <f ca="1">INDIRECT("'"&amp;$S$1&amp;"'!"&amp;$Q138&amp;V$4)</f>
        <v>5</v>
      </c>
      <c r="W138" s="129">
        <f ca="1">INDIRECT("'"&amp;$S$1&amp;"'!"&amp;$Q138&amp;W$4)</f>
        <v>6.7959793267310484E-2</v>
      </c>
      <c r="X138" s="129">
        <f ca="1">INDIRECT("'"&amp;$S$1&amp;"'!"&amp;$Q138&amp;X$4)</f>
        <v>-5</v>
      </c>
      <c r="Y138" s="129">
        <f ca="1">INDIRECT("'"&amp;$S$1&amp;"'!"&amp;$Q138&amp;Y$4)</f>
        <v>117.86097288131714</v>
      </c>
      <c r="Z138" s="129">
        <v>3</v>
      </c>
    </row>
    <row r="139" spans="1:26" s="114" customFormat="1" x14ac:dyDescent="0.2">
      <c r="A139" s="187"/>
      <c r="B139" s="188"/>
      <c r="C139" s="189"/>
      <c r="D139" s="118" t="str">
        <f>CONCATENATE(Z138,"T, [daN]")</f>
        <v>3T, [daN]</v>
      </c>
      <c r="E139" s="119">
        <f ca="1">E138*$Z138</f>
        <v>10389.830508828163</v>
      </c>
      <c r="F139" s="119">
        <f t="shared" ref="F139:N139" ca="1" si="42">F138*$Z138</f>
        <v>10162.304404377937</v>
      </c>
      <c r="G139" s="119">
        <f t="shared" ca="1" si="42"/>
        <v>9944.6770995855331</v>
      </c>
      <c r="H139" s="119">
        <f t="shared" ca="1" si="42"/>
        <v>9736.4772230386734</v>
      </c>
      <c r="I139" s="119">
        <f t="shared" ca="1" si="42"/>
        <v>9537.2659116983414</v>
      </c>
      <c r="J139" s="119">
        <f t="shared" ca="1" si="42"/>
        <v>9346.6205567121506</v>
      </c>
      <c r="K139" s="119">
        <f t="shared" ca="1" si="42"/>
        <v>9164.1185492277145</v>
      </c>
      <c r="L139" s="119">
        <f t="shared" ca="1" si="42"/>
        <v>8989.3372803926468</v>
      </c>
      <c r="M139" s="119">
        <f t="shared" ca="1" si="42"/>
        <v>8821.9029039144516</v>
      </c>
      <c r="N139" s="119">
        <f t="shared" ca="1" si="42"/>
        <v>8661.4090651273727</v>
      </c>
      <c r="O139" s="190"/>
      <c r="P139" s="221"/>
      <c r="Q139" s="142" t="s">
        <v>214</v>
      </c>
      <c r="R139"/>
      <c r="S139"/>
      <c r="T139"/>
      <c r="U139"/>
      <c r="V139"/>
      <c r="W139"/>
      <c r="X139"/>
      <c r="Y139"/>
      <c r="Z139"/>
    </row>
    <row r="140" spans="1:26" s="114" customFormat="1" x14ac:dyDescent="0.2">
      <c r="A140" s="187"/>
      <c r="B140" s="188"/>
      <c r="C140" s="189"/>
      <c r="D140" s="118" t="s">
        <v>31</v>
      </c>
      <c r="E140" s="120">
        <f ca="1">[1]!ripe([1]!Olekuvorrand($C137,$T138,$Y138,$X138,$W138,E$4,[1]!juhe($T138,6),TRUE),[1]!juhe($T138,6),$C137,0)</f>
        <v>9.8997882681610463</v>
      </c>
      <c r="F140" s="120">
        <f ca="1">[1]!ripe([1]!Olekuvorrand($C137,$T138,$Y138,$X138,$W138,F$4,[1]!juhe($T138,6),TRUE),[1]!juhe($T138,6),$C137,0)</f>
        <v>10.121436840168629</v>
      </c>
      <c r="G140" s="120">
        <f ca="1">[1]!ripe([1]!Olekuvorrand($C137,$T138,$Y138,$X138,$W138,G$4,[1]!juhe($T138,6),TRUE),[1]!juhe($T138,6),$C137,0)</f>
        <v>10.342932319417949</v>
      </c>
      <c r="H140" s="120">
        <f ca="1">[1]!ripe([1]!Olekuvorrand($C137,$T138,$Y138,$X138,$W138,H$4,[1]!juhe($T138,6),TRUE),[1]!juhe($T138,6),$C137,0)</f>
        <v>10.564100323276667</v>
      </c>
      <c r="I140" s="120">
        <f ca="1">[1]!ripe([1]!Olekuvorrand($C137,$T138,$Y138,$X138,$W138,I$4,[1]!juhe($T138,6),TRUE),[1]!juhe($T138,6),$C137,0)</f>
        <v>10.784759818148194</v>
      </c>
      <c r="J140" s="120">
        <f ca="1">[1]!ripe([1]!Olekuvorrand($C137,$T138,$Y138,$X138,$W138,J$4,[1]!juhe($T138,6),TRUE),[1]!juhe($T138,6),$C137,0)</f>
        <v>11.004739259005577</v>
      </c>
      <c r="K140" s="120">
        <f ca="1">[1]!ripe([1]!Olekuvorrand($C137,$T138,$Y138,$X138,$W138,K$4,[1]!juhe($T138,6),TRUE),[1]!juhe($T138,6),$C137,0)</f>
        <v>11.223896944037985</v>
      </c>
      <c r="L140" s="120">
        <f ca="1">[1]!ripe([1]!Olekuvorrand($C137,$T138,$Y138,$X138,$W138,L$4,[1]!juhe($T138,6),TRUE),[1]!juhe($T138,6),$C137,0)</f>
        <v>11.442125150185271</v>
      </c>
      <c r="M140" s="120">
        <f ca="1">[1]!ripe([1]!Olekuvorrand($C137,$T138,$Y138,$X138,$W138,M$4,[1]!juhe($T138,6),TRUE),[1]!juhe($T138,6),$C137,0)</f>
        <v>11.659289758657289</v>
      </c>
      <c r="N140" s="120">
        <f ca="1">[1]!ripe([1]!Olekuvorrand($C137,$T138,$Y138,$X138,$W138,N$4,[1]!juhe($T138,6),TRUE),[1]!juhe($T138,6),$C137,0)</f>
        <v>11.875333609816773</v>
      </c>
      <c r="O140" s="190"/>
      <c r="P140" s="221"/>
      <c r="Q140" s="142" t="s">
        <v>214</v>
      </c>
      <c r="R140"/>
      <c r="S140"/>
      <c r="T140"/>
      <c r="U140"/>
      <c r="V140"/>
      <c r="W140"/>
      <c r="X140"/>
      <c r="Y140"/>
      <c r="Z140"/>
    </row>
    <row r="141" spans="1:26" s="114" customFormat="1" x14ac:dyDescent="0.2">
      <c r="A141" s="187"/>
      <c r="B141" s="188"/>
      <c r="C141" s="189"/>
      <c r="D141" s="118" t="s">
        <v>195</v>
      </c>
      <c r="E141" s="120">
        <f ca="1">[1]!ripe([1]!Olekuvorrand($C137,$T138,$Y138,$X138,$W138,E$4,[1]!juhe($T138,6)),[1]!juhe($T138,6),$C137,0)</f>
        <v>10.424529633038521</v>
      </c>
      <c r="F141" s="120">
        <f ca="1">[1]!ripe([1]!Olekuvorrand($C137,$T138,$Y138,$X138,$W138,F$4,[1]!juhe($T138,6)),[1]!juhe($T138,6),$C137,0)</f>
        <v>10.664206300904866</v>
      </c>
      <c r="G141" s="120">
        <f ca="1">[1]!ripe([1]!Olekuvorrand($C137,$T138,$Y138,$X138,$W138,G$4,[1]!juhe($T138,6)),[1]!juhe($T138,6),$C137,0)</f>
        <v>10.902263065445203</v>
      </c>
      <c r="H141" s="120">
        <f ca="1">[1]!ripe([1]!Olekuvorrand($C137,$T138,$Y138,$X138,$W138,H$4,[1]!juhe($T138,6)),[1]!juhe($T138,6),$C137,0)</f>
        <v>11.138569806171217</v>
      </c>
      <c r="I141" s="120">
        <f ca="1">[1]!ripe([1]!Olekuvorrand($C137,$T138,$Y138,$X138,$W138,I$4,[1]!juhe($T138,6)),[1]!juhe($T138,6),$C137,0)</f>
        <v>11.373029136014681</v>
      </c>
      <c r="J141" s="120">
        <f ca="1">[1]!ripe([1]!Olekuvorrand($C137,$T138,$Y138,$X138,$W138,J$4,[1]!juhe($T138,6)),[1]!juhe($T138,6),$C137,0)</f>
        <v>11.605554252602822</v>
      </c>
      <c r="K141" s="120">
        <f ca="1">[1]!ripe([1]!Olekuvorrand($C137,$T138,$Y138,$X138,$W138,K$4,[1]!juhe($T138,6)),[1]!juhe($T138,6),$C137,0)</f>
        <v>11.836085266795829</v>
      </c>
      <c r="L141" s="120">
        <f ca="1">[1]!ripe([1]!Olekuvorrand($C137,$T138,$Y138,$X138,$W138,L$4,[1]!juhe($T138,6)),[1]!juhe($T138,6),$C137,0)</f>
        <v>12.064586915297868</v>
      </c>
      <c r="M141" s="120">
        <f ca="1">[1]!ripe([1]!Olekuvorrand($C137,$T138,$Y138,$X138,$W138,M$4,[1]!juhe($T138,6)),[1]!juhe($T138,6),$C137,0)</f>
        <v>12.291021780103328</v>
      </c>
      <c r="N141" s="120">
        <f ca="1">[1]!ripe([1]!Olekuvorrand($C137,$T138,$Y138,$X138,$W138,N$4,[1]!juhe($T138,6)),[1]!juhe($T138,6),$C137,0)</f>
        <v>12.515367145180909</v>
      </c>
      <c r="O141" s="190"/>
      <c r="P141" s="221"/>
      <c r="Q141" s="142" t="s">
        <v>214</v>
      </c>
      <c r="R141"/>
      <c r="S141"/>
      <c r="T141"/>
      <c r="U141"/>
      <c r="V141"/>
      <c r="W141"/>
      <c r="X141"/>
      <c r="Y141"/>
      <c r="Z141"/>
    </row>
    <row r="142" spans="1:26" ht="23.25" customHeight="1" x14ac:dyDescent="0.2">
      <c r="A142" s="105"/>
      <c r="B142" s="113" t="str">
        <f t="shared" ref="B142" ca="1" si="43">INDIRECT("Visangud!C" &amp; R142)</f>
        <v>164Y-L507 165</v>
      </c>
      <c r="C142" s="106">
        <f t="shared" ref="C142" ca="1" si="44">INDIRECT("Visangud!"&amp;Q142&amp;R142)</f>
        <v>426.99285708293951</v>
      </c>
      <c r="D142" s="10" t="s">
        <v>31</v>
      </c>
      <c r="E142" s="12">
        <f ca="1">[1]!ripe(E$137,[1]!juhe($T$7,6),$C142,0)</f>
        <v>9.8997882681610463</v>
      </c>
      <c r="F142" s="12">
        <f ca="1">[1]!ripe(F$137,[1]!juhe($T$7,6),$C142,0)</f>
        <v>10.121436840168629</v>
      </c>
      <c r="G142" s="12">
        <f ca="1">[1]!ripe(G$137,[1]!juhe($T$7,6),$C142,0)</f>
        <v>10.342932319417949</v>
      </c>
      <c r="H142" s="12">
        <f ca="1">[1]!ripe(H$137,[1]!juhe($T$7,6),$C142,0)</f>
        <v>10.564100323276667</v>
      </c>
      <c r="I142" s="12">
        <f ca="1">[1]!ripe(I$137,[1]!juhe($T$7,6),$C142,0)</f>
        <v>10.784759818148194</v>
      </c>
      <c r="J142" s="12">
        <f ca="1">[1]!ripe(J$137,[1]!juhe($T$7,6),$C142,0)</f>
        <v>11.004739259005577</v>
      </c>
      <c r="K142" s="12">
        <f ca="1">[1]!ripe(K$137,[1]!juhe($T$7,6),$C142,0)</f>
        <v>11.223896944037985</v>
      </c>
      <c r="L142" s="12">
        <f ca="1">[1]!ripe(L$137,[1]!juhe($T$7,6),$C142,0)</f>
        <v>11.442125150185271</v>
      </c>
      <c r="M142" s="12">
        <f ca="1">[1]!ripe(M$137,[1]!juhe($T$7,6),$C142,0)</f>
        <v>11.659289758657289</v>
      </c>
      <c r="N142" s="12">
        <f ca="1">[1]!ripe(N$137,[1]!juhe($T$7,6),$C142,0)</f>
        <v>11.875333609816773</v>
      </c>
      <c r="O142" s="107"/>
      <c r="Q142" s="142" t="s">
        <v>214</v>
      </c>
      <c r="R142">
        <v>76</v>
      </c>
      <c r="S142"/>
      <c r="T142"/>
      <c r="U142"/>
      <c r="V142"/>
      <c r="W142"/>
      <c r="X142"/>
      <c r="Y142"/>
      <c r="Z142"/>
    </row>
  </sheetData>
  <mergeCells count="69">
    <mergeCell ref="A124:A128"/>
    <mergeCell ref="B124:B128"/>
    <mergeCell ref="C124:C128"/>
    <mergeCell ref="O124:O128"/>
    <mergeCell ref="A137:A141"/>
    <mergeCell ref="B137:B141"/>
    <mergeCell ref="C137:C141"/>
    <mergeCell ref="O137:O141"/>
    <mergeCell ref="A109:A113"/>
    <mergeCell ref="B109:B113"/>
    <mergeCell ref="C109:C113"/>
    <mergeCell ref="O109:O113"/>
    <mergeCell ref="A117:A121"/>
    <mergeCell ref="B117:B121"/>
    <mergeCell ref="C117:C121"/>
    <mergeCell ref="O117:O121"/>
    <mergeCell ref="A92:A96"/>
    <mergeCell ref="B92:B96"/>
    <mergeCell ref="C92:C96"/>
    <mergeCell ref="O92:O96"/>
    <mergeCell ref="A101:A105"/>
    <mergeCell ref="B101:B105"/>
    <mergeCell ref="C101:C105"/>
    <mergeCell ref="O101:O105"/>
    <mergeCell ref="A71:A75"/>
    <mergeCell ref="B71:B75"/>
    <mergeCell ref="C71:C75"/>
    <mergeCell ref="O71:O75"/>
    <mergeCell ref="A80:A84"/>
    <mergeCell ref="B80:B84"/>
    <mergeCell ref="C80:C84"/>
    <mergeCell ref="O80:O84"/>
    <mergeCell ref="A54:A58"/>
    <mergeCell ref="B54:B58"/>
    <mergeCell ref="C54:C58"/>
    <mergeCell ref="O54:O58"/>
    <mergeCell ref="A61:A65"/>
    <mergeCell ref="B61:B65"/>
    <mergeCell ref="C61:C65"/>
    <mergeCell ref="O61:O65"/>
    <mergeCell ref="A36:A40"/>
    <mergeCell ref="B36:B40"/>
    <mergeCell ref="C36:C40"/>
    <mergeCell ref="O36:O40"/>
    <mergeCell ref="A44:A48"/>
    <mergeCell ref="B44:B48"/>
    <mergeCell ref="C44:C48"/>
    <mergeCell ref="O44:O48"/>
    <mergeCell ref="A17:A21"/>
    <mergeCell ref="B17:B21"/>
    <mergeCell ref="C17:C21"/>
    <mergeCell ref="O17:O21"/>
    <mergeCell ref="A30:A34"/>
    <mergeCell ref="B30:B34"/>
    <mergeCell ref="C30:C34"/>
    <mergeCell ref="O30:O34"/>
    <mergeCell ref="V2:Y2"/>
    <mergeCell ref="D3:N3"/>
    <mergeCell ref="A5:O5"/>
    <mergeCell ref="A6:A10"/>
    <mergeCell ref="B6:B10"/>
    <mergeCell ref="C6:C10"/>
    <mergeCell ref="O6:O10"/>
    <mergeCell ref="A1:C1"/>
    <mergeCell ref="D1:L1"/>
    <mergeCell ref="M1:O1"/>
    <mergeCell ref="A2:C2"/>
    <mergeCell ref="D2:L2"/>
    <mergeCell ref="M2:O2"/>
  </mergeCells>
  <pageMargins left="0.74803149606299213" right="0.28000000000000003" top="0.23622047244094491" bottom="0.39370078740157483" header="0.74803149606299213" footer="0.15748031496062992"/>
  <pageSetup paperSize="9" scale="94" fitToHeight="0" orientation="portrait" r:id="rId1"/>
  <headerFooter alignWithMargins="0">
    <oddHeader>&amp;RLehekülg &amp;P/&amp;N</oddHeader>
    <oddFooter>&amp;R&amp;D</oddFooter>
  </headerFooter>
  <rowBreaks count="2" manualBreakCount="2">
    <brk id="60" max="14" man="1"/>
    <brk id="124" max="14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130"/>
  <sheetViews>
    <sheetView topLeftCell="A26" zoomScaleNormal="100" workbookViewId="0">
      <selection activeCell="O100" sqref="O100:O103"/>
    </sheetView>
  </sheetViews>
  <sheetFormatPr defaultRowHeight="12.75" x14ac:dyDescent="0.2"/>
  <cols>
    <col min="1" max="1" width="3.85546875" customWidth="1"/>
    <col min="2" max="2" width="10.7109375" style="86" customWidth="1"/>
    <col min="3" max="3" width="7.5703125" customWidth="1"/>
    <col min="4" max="4" width="8.42578125" customWidth="1"/>
    <col min="5" max="14" width="5.7109375" customWidth="1"/>
    <col min="15" max="15" width="12" style="126" customWidth="1"/>
    <col min="16" max="17" width="7" customWidth="1"/>
    <col min="18" max="18" width="11.42578125" style="103" customWidth="1"/>
    <col min="19" max="19" width="9.140625" style="101" customWidth="1"/>
    <col min="20" max="20" width="17.5703125" style="101" customWidth="1"/>
    <col min="21" max="22" width="10.42578125" style="101" customWidth="1"/>
    <col min="23" max="23" width="10.5703125" style="101" customWidth="1"/>
    <col min="24" max="25" width="10.42578125" style="101" customWidth="1"/>
    <col min="26" max="26" width="12.140625" style="99" customWidth="1"/>
    <col min="27" max="27" width="10.42578125" customWidth="1"/>
  </cols>
  <sheetData>
    <row r="1" spans="1:29" ht="32.25" customHeight="1" x14ac:dyDescent="0.2">
      <c r="A1" s="166"/>
      <c r="B1" s="191"/>
      <c r="C1" s="192"/>
      <c r="D1" s="170" t="str">
        <f>Köide</f>
        <v>330/110kV Tartu-Sindi õhuliini ehitus
II ehitusetapp, Puhja - Viljandi</v>
      </c>
      <c r="E1" s="170"/>
      <c r="F1" s="170"/>
      <c r="G1" s="170"/>
      <c r="H1" s="170"/>
      <c r="I1" s="170"/>
      <c r="J1" s="170"/>
      <c r="K1" s="170"/>
      <c r="L1" s="170"/>
      <c r="M1" s="193" t="s">
        <v>233</v>
      </c>
      <c r="N1" s="193"/>
      <c r="O1" s="194"/>
      <c r="Q1" s="139"/>
      <c r="R1" s="130" t="s">
        <v>200</v>
      </c>
      <c r="S1" s="131" t="s">
        <v>237</v>
      </c>
      <c r="T1" s="132"/>
      <c r="U1" s="132"/>
      <c r="V1" s="132"/>
      <c r="W1" s="132"/>
      <c r="X1" s="132"/>
      <c r="Y1" s="132"/>
    </row>
    <row r="2" spans="1:29" ht="27" customHeight="1" thickBot="1" x14ac:dyDescent="0.25">
      <c r="A2" s="168"/>
      <c r="B2" s="169"/>
      <c r="C2" s="195"/>
      <c r="D2" s="171" t="s">
        <v>196</v>
      </c>
      <c r="E2" s="171"/>
      <c r="F2" s="171"/>
      <c r="G2" s="171"/>
      <c r="H2" s="171"/>
      <c r="I2" s="171"/>
      <c r="J2" s="171"/>
      <c r="K2" s="171"/>
      <c r="L2" s="171"/>
      <c r="M2" s="196"/>
      <c r="N2" s="196"/>
      <c r="O2" s="197"/>
      <c r="Q2" s="139"/>
      <c r="R2" s="130"/>
      <c r="S2" s="132"/>
      <c r="T2" s="132"/>
      <c r="U2" s="132"/>
      <c r="V2" s="211" t="s">
        <v>77</v>
      </c>
      <c r="W2" s="211"/>
      <c r="X2" s="211"/>
      <c r="Y2" s="211"/>
    </row>
    <row r="3" spans="1:29" ht="45" customHeight="1" x14ac:dyDescent="0.2">
      <c r="A3" s="34" t="s">
        <v>33</v>
      </c>
      <c r="B3" s="87" t="s">
        <v>126</v>
      </c>
      <c r="C3" s="34" t="s">
        <v>129</v>
      </c>
      <c r="D3" s="198" t="s">
        <v>37</v>
      </c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122" t="s">
        <v>34</v>
      </c>
      <c r="Q3" s="140" t="s">
        <v>199</v>
      </c>
      <c r="R3" s="104" t="s">
        <v>76</v>
      </c>
      <c r="S3" s="133" t="s">
        <v>128</v>
      </c>
      <c r="T3" s="102" t="s">
        <v>54</v>
      </c>
      <c r="U3" s="132" t="s">
        <v>27</v>
      </c>
      <c r="V3" s="102" t="s">
        <v>10</v>
      </c>
      <c r="W3" s="102" t="s">
        <v>21</v>
      </c>
      <c r="X3" s="102" t="s">
        <v>127</v>
      </c>
      <c r="Y3" s="102" t="s">
        <v>22</v>
      </c>
      <c r="Z3" s="100" t="s">
        <v>81</v>
      </c>
    </row>
    <row r="4" spans="1:29" x14ac:dyDescent="0.2">
      <c r="A4" s="63"/>
      <c r="B4" s="64" t="s">
        <v>7</v>
      </c>
      <c r="C4" s="65" t="s">
        <v>8</v>
      </c>
      <c r="D4" s="66"/>
      <c r="E4" s="67">
        <v>-20</v>
      </c>
      <c r="F4" s="67">
        <v>-15</v>
      </c>
      <c r="G4" s="67">
        <v>-10</v>
      </c>
      <c r="H4" s="67">
        <v>-5</v>
      </c>
      <c r="I4" s="67">
        <v>0</v>
      </c>
      <c r="J4" s="67">
        <v>5</v>
      </c>
      <c r="K4" s="67">
        <v>10</v>
      </c>
      <c r="L4" s="67">
        <v>15</v>
      </c>
      <c r="M4" s="67">
        <v>20</v>
      </c>
      <c r="N4" s="67">
        <v>25</v>
      </c>
      <c r="O4" s="123" t="s">
        <v>36</v>
      </c>
      <c r="Q4" s="139"/>
      <c r="R4" s="130">
        <v>3</v>
      </c>
      <c r="S4" s="132">
        <v>4</v>
      </c>
      <c r="T4" s="132">
        <v>5</v>
      </c>
      <c r="U4" s="132">
        <v>8</v>
      </c>
      <c r="V4" s="132">
        <v>17</v>
      </c>
      <c r="W4" s="132">
        <v>18</v>
      </c>
      <c r="X4" s="132">
        <v>19</v>
      </c>
      <c r="Y4" s="132">
        <v>20</v>
      </c>
    </row>
    <row r="5" spans="1:29" ht="17.25" customHeight="1" x14ac:dyDescent="0.2">
      <c r="A5" s="201" t="str">
        <f ca="1">CONCATENATE( "Tross ",Z8,"x(",T8,")")</f>
        <v>Tross 1x(9,9-S1A - 19)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3"/>
      <c r="Q5" s="139"/>
      <c r="R5" s="130"/>
      <c r="S5" s="132"/>
      <c r="T5" s="132"/>
      <c r="U5" s="132"/>
      <c r="V5" s="132"/>
      <c r="W5" s="132"/>
      <c r="X5" s="132"/>
      <c r="Y5" s="132"/>
    </row>
    <row r="6" spans="1:29" s="115" customFormat="1" ht="12.75" hidden="1" customHeight="1" x14ac:dyDescent="0.2">
      <c r="A6" s="150">
        <v>1</v>
      </c>
      <c r="B6" s="151" t="e">
        <f>#REF!</f>
        <v>#REF!</v>
      </c>
      <c r="C6" s="150" t="e">
        <f>#REF!</f>
        <v>#REF!</v>
      </c>
      <c r="D6" s="115" t="s">
        <v>130</v>
      </c>
      <c r="E6" s="115" t="e">
        <f ca="1">[1]!Olekuvorrand($C6,#REF!,#REF!,#REF!,#REF!,E$4,[1]!juhe($T$8,6),TRUE)</f>
        <v>#VALUE!</v>
      </c>
      <c r="F6" s="115" t="e">
        <f ca="1">[1]!Olekuvorrand($C6,#REF!,#REF!,#REF!,#REF!,F$4,[1]!juhe($T$8,6),TRUE)</f>
        <v>#VALUE!</v>
      </c>
      <c r="G6" s="115" t="e">
        <f ca="1">[1]!Olekuvorrand($C6,#REF!,#REF!,#REF!,#REF!,G$4,[1]!juhe($T$8,6),TRUE)</f>
        <v>#VALUE!</v>
      </c>
      <c r="H6" s="115" t="e">
        <f ca="1">[1]!Olekuvorrand($C6,#REF!,#REF!,#REF!,#REF!,H$4,[1]!juhe($T$8,6),TRUE)</f>
        <v>#VALUE!</v>
      </c>
      <c r="I6" s="115" t="e">
        <f ca="1">[1]!Olekuvorrand($C6,#REF!,#REF!,#REF!,#REF!,I$4,[1]!juhe($T$8,6),TRUE)</f>
        <v>#VALUE!</v>
      </c>
      <c r="J6" s="115" t="e">
        <f ca="1">[1]!Olekuvorrand($C6,#REF!,#REF!,#REF!,#REF!,J$4,[1]!juhe($T$8,6),TRUE)</f>
        <v>#VALUE!</v>
      </c>
      <c r="K6" s="115" t="e">
        <f ca="1">[1]!Olekuvorrand($C6,#REF!,#REF!,#REF!,#REF!,K$4,[1]!juhe($T$8,6),TRUE)</f>
        <v>#VALUE!</v>
      </c>
      <c r="L6" s="115" t="e">
        <f ca="1">[1]!Olekuvorrand($C6,#REF!,#REF!,#REF!,#REF!,L$4,[1]!juhe($T$8,6),TRUE)</f>
        <v>#VALUE!</v>
      </c>
      <c r="M6" s="115" t="e">
        <f ca="1">[1]!Olekuvorrand($C6,#REF!,#REF!,#REF!,#REF!,M$4,[1]!juhe($T$8,6),TRUE)</f>
        <v>#VALUE!</v>
      </c>
      <c r="N6" s="115" t="e">
        <f ca="1">[1]!Olekuvorrand($C6,#REF!,#REF!,#REF!,#REF!,N$4,[1]!juhe($T$8,6),TRUE)</f>
        <v>#VALUE!</v>
      </c>
      <c r="O6" s="152" t="e">
        <f>#REF!</f>
        <v>#REF!</v>
      </c>
      <c r="Q6" s="141"/>
      <c r="R6" s="135"/>
      <c r="S6" s="135"/>
      <c r="T6" s="135"/>
      <c r="U6" s="135"/>
      <c r="V6" s="135"/>
      <c r="W6" s="135"/>
      <c r="X6" s="135"/>
      <c r="Y6" s="135"/>
    </row>
    <row r="7" spans="1:29" s="114" customFormat="1" ht="12.75" hidden="1" customHeight="1" x14ac:dyDescent="0.2">
      <c r="A7" s="187">
        <v>1</v>
      </c>
      <c r="B7" s="188" t="str">
        <f ca="1">R8</f>
        <v>103Y- 109Y</v>
      </c>
      <c r="C7" s="189">
        <f ca="1">S8</f>
        <v>447.20458836298803</v>
      </c>
      <c r="D7" s="118" t="s">
        <v>130</v>
      </c>
      <c r="E7" s="119">
        <f ca="1">[1]!Olekuvorrand($C7,$T8,$Y8,$X8,$W8,E$4,[1]!juhe($T8,6),TRUE)</f>
        <v>127.05713510513306</v>
      </c>
      <c r="F7" s="119">
        <f ca="1">[1]!Olekuvorrand($C7,$T8,$Y8,$X8,$W8,F$4,[1]!juhe($T8,6),TRUE)</f>
        <v>125.02247095108032</v>
      </c>
      <c r="G7" s="119">
        <f ca="1">[1]!Olekuvorrand($C7,$T8,$Y8,$X8,$W8,G$4,[1]!juhe($T8,6),TRUE)</f>
        <v>123.06541204452515</v>
      </c>
      <c r="H7" s="119">
        <f ca="1">[1]!Olekuvorrand($C7,$T8,$Y8,$X8,$W8,H$4,[1]!juhe($T8,6),TRUE)</f>
        <v>121.1819052696228</v>
      </c>
      <c r="I7" s="119">
        <f ca="1">[1]!Olekuvorrand($C7,$T8,$Y8,$X8,$W8,I$4,[1]!juhe($T8,6),TRUE)</f>
        <v>119.36825513839722</v>
      </c>
      <c r="J7" s="119">
        <f ca="1">[1]!Olekuvorrand($C7,$T8,$Y8,$X8,$W8,J$4,[1]!juhe($T8,6),TRUE)</f>
        <v>117.62088537216187</v>
      </c>
      <c r="K7" s="119">
        <f ca="1">[1]!Olekuvorrand($C7,$T8,$Y8,$X8,$W8,K$4,[1]!juhe($T8,6),TRUE)</f>
        <v>115.93633890151978</v>
      </c>
      <c r="L7" s="119">
        <f ca="1">[1]!Olekuvorrand($C7,$T8,$Y8,$X8,$W8,L$4,[1]!juhe($T8,6),TRUE)</f>
        <v>114.31163549423218</v>
      </c>
      <c r="M7" s="119">
        <f ca="1">[1]!Olekuvorrand($C7,$T8,$Y8,$X8,$W8,M$4,[1]!juhe($T8,6),TRUE)</f>
        <v>112.74367570877075</v>
      </c>
      <c r="N7" s="119">
        <f ca="1">[1]!Olekuvorrand($C7,$T8,$Y8,$X8,$W8,N$4,[1]!juhe($T8,6),TRUE)</f>
        <v>111.22971773147583</v>
      </c>
      <c r="O7" s="207">
        <f ca="1">U8</f>
        <v>117.62088537216187</v>
      </c>
      <c r="Q7" s="141" t="s">
        <v>197</v>
      </c>
      <c r="R7" s="129" t="str">
        <f t="shared" ref="R7:Y8" ca="1" si="0">INDIRECT("'"&amp;$S$1&amp;"'!"&amp;$Q7&amp;R$4)</f>
        <v>103Y- 109Y</v>
      </c>
      <c r="S7" s="129">
        <f t="shared" ca="1" si="0"/>
        <v>447.20458836298803</v>
      </c>
      <c r="T7" s="129" t="str">
        <f t="shared" ca="1" si="0"/>
        <v>9,9-S1A - 19</v>
      </c>
      <c r="U7" s="129">
        <f t="shared" ca="1" si="0"/>
        <v>117.62088537216187</v>
      </c>
      <c r="V7" s="129">
        <f t="shared" ca="1" si="0"/>
        <v>6</v>
      </c>
      <c r="W7" s="129">
        <f t="shared" ca="1" si="0"/>
        <v>0.27519700122393526</v>
      </c>
      <c r="X7" s="129">
        <f t="shared" ca="1" si="0"/>
        <v>-5</v>
      </c>
      <c r="Y7" s="129">
        <f t="shared" ca="1" si="0"/>
        <v>431.87826871871948</v>
      </c>
      <c r="Z7"/>
    </row>
    <row r="8" spans="1:29" s="114" customFormat="1" x14ac:dyDescent="0.2">
      <c r="A8" s="187"/>
      <c r="B8" s="188"/>
      <c r="C8" s="189"/>
      <c r="D8" s="118" t="s">
        <v>32</v>
      </c>
      <c r="E8" s="119">
        <f ca="1">E7*[1]!juhe($T8,2)/10</f>
        <v>852.55337655544281</v>
      </c>
      <c r="F8" s="119">
        <f ca="1">F7*[1]!juhe($T8,2)/10</f>
        <v>838.90078008174896</v>
      </c>
      <c r="G8" s="119">
        <f ca="1">G7*[1]!juhe($T8,2)/10</f>
        <v>825.76891481876373</v>
      </c>
      <c r="H8" s="119">
        <f ca="1">H7*[1]!juhe($T8,2)/10</f>
        <v>813.13058435916889</v>
      </c>
      <c r="I8" s="119">
        <f ca="1">I7*[1]!juhe($T8,2)/10</f>
        <v>800.96099197864521</v>
      </c>
      <c r="J8" s="119">
        <f ca="1">J7*[1]!juhe($T8,2)/10</f>
        <v>789.236140847206</v>
      </c>
      <c r="K8" s="119">
        <f ca="1">K7*[1]!juhe($T8,2)/10</f>
        <v>777.93283402919758</v>
      </c>
      <c r="L8" s="119">
        <f ca="1">L7*[1]!juhe($T8,2)/10</f>
        <v>767.0310741662978</v>
      </c>
      <c r="M8" s="119">
        <f ca="1">M7*[1]!juhe($T8,2)/10</f>
        <v>756.51006400585163</v>
      </c>
      <c r="N8" s="119">
        <f ca="1">N7*[1]!juhe($T8,2)/10</f>
        <v>746.35140597820271</v>
      </c>
      <c r="O8" s="207"/>
      <c r="Q8" s="141" t="s">
        <v>197</v>
      </c>
      <c r="R8" s="129" t="str">
        <f t="shared" ca="1" si="0"/>
        <v>103Y- 109Y</v>
      </c>
      <c r="S8" s="129">
        <f t="shared" ca="1" si="0"/>
        <v>447.20458836298803</v>
      </c>
      <c r="T8" s="129" t="str">
        <f t="shared" ca="1" si="0"/>
        <v>9,9-S1A - 19</v>
      </c>
      <c r="U8" s="129">
        <f t="shared" ca="1" si="0"/>
        <v>117.62088537216187</v>
      </c>
      <c r="V8" s="129">
        <f t="shared" ca="1" si="0"/>
        <v>6</v>
      </c>
      <c r="W8" s="129">
        <f t="shared" ca="1" si="0"/>
        <v>0.27519700122393526</v>
      </c>
      <c r="X8" s="129">
        <f t="shared" ca="1" si="0"/>
        <v>-5</v>
      </c>
      <c r="Y8" s="129">
        <f t="shared" ca="1" si="0"/>
        <v>431.87826871871948</v>
      </c>
      <c r="Z8">
        <v>1</v>
      </c>
    </row>
    <row r="9" spans="1:29" s="114" customFormat="1" x14ac:dyDescent="0.2">
      <c r="A9" s="187"/>
      <c r="B9" s="188"/>
      <c r="C9" s="189"/>
      <c r="D9" s="118" t="s">
        <v>31</v>
      </c>
      <c r="E9" s="120">
        <f ca="1">[1]!ripe([1]!Olekuvorrand($C7,$T8,$Y8,$X8,$W8,E$4,[1]!juhe($T8,6),TRUE),[1]!juhe($T8,6),$C7,0)</f>
        <v>10.526336229836025</v>
      </c>
      <c r="F9" s="120">
        <f ca="1">[1]!ripe([1]!Olekuvorrand($C7,$T8,$Y8,$X8,$W8,F$4,[1]!juhe($T8,6),TRUE),[1]!juhe($T8,6),$C7,0)</f>
        <v>10.697645905908052</v>
      </c>
      <c r="G9" s="120">
        <f ca="1">[1]!ripe([1]!Olekuvorrand($C7,$T8,$Y8,$X8,$W8,G$4,[1]!juhe($T8,6),TRUE),[1]!juhe($T8,6),$C7,0)</f>
        <v>10.867766192766201</v>
      </c>
      <c r="H9" s="120">
        <f ca="1">[1]!ripe([1]!Olekuvorrand($C7,$T8,$Y8,$X8,$W8,H$4,[1]!juhe($T8,6),TRUE),[1]!juhe($T8,6),$C7,0)</f>
        <v>11.036681768128597</v>
      </c>
      <c r="I9" s="120">
        <f ca="1">[1]!ripe([1]!Olekuvorrand($C7,$T8,$Y8,$X8,$W8,I$4,[1]!juhe($T8,6),TRUE),[1]!juhe($T8,6),$C7,0)</f>
        <v>11.204370231982356</v>
      </c>
      <c r="J9" s="120">
        <f ca="1">[1]!ripe([1]!Olekuvorrand($C7,$T8,$Y8,$X8,$W8,J$4,[1]!juhe($T8,6),TRUE),[1]!juhe($T8,6),$C7,0)</f>
        <v>11.370821774419964</v>
      </c>
      <c r="K9" s="120">
        <f ca="1">[1]!ripe([1]!Olekuvorrand($C7,$T8,$Y8,$X8,$W8,K$4,[1]!juhe($T8,6),TRUE),[1]!juhe($T8,6),$C7,0)</f>
        <v>11.536038977842869</v>
      </c>
      <c r="L9" s="120">
        <f ca="1">[1]!ripe([1]!Olekuvorrand($C7,$T8,$Y8,$X8,$W8,L$4,[1]!juhe($T8,6),TRUE),[1]!juhe($T8,6),$C7,0)</f>
        <v>11.699999905817254</v>
      </c>
      <c r="M9" s="120">
        <f ca="1">[1]!ripe([1]!Olekuvorrand($C7,$T8,$Y8,$X8,$W8,M$4,[1]!juhe($T8,6),TRUE),[1]!juhe($T8,6),$C7,0)</f>
        <v>11.862715279667681</v>
      </c>
      <c r="N9" s="120">
        <f ca="1">[1]!ripe([1]!Olekuvorrand($C7,$T8,$Y8,$X8,$W8,N$4,[1]!juhe($T8,6),TRUE),[1]!juhe($T8,6),$C7,0)</f>
        <v>12.024179794694037</v>
      </c>
      <c r="O9" s="207"/>
      <c r="Q9" s="141"/>
      <c r="R9" s="129"/>
      <c r="S9" s="129"/>
      <c r="T9" s="129"/>
      <c r="U9" s="129"/>
      <c r="V9" s="129"/>
      <c r="W9" s="129"/>
      <c r="X9" s="129"/>
      <c r="Y9" s="129"/>
      <c r="Z9"/>
    </row>
    <row r="10" spans="1:29" s="114" customFormat="1" x14ac:dyDescent="0.2">
      <c r="A10" s="187"/>
      <c r="B10" s="188"/>
      <c r="C10" s="189"/>
      <c r="D10" s="118" t="s">
        <v>195</v>
      </c>
      <c r="E10" s="120">
        <f ca="1">[1]!ripe([1]!Olekuvorrand($C7,$T8,$Y8,$X8,$W8,E$4,[1]!juhe($T8,6)),[1]!juhe($T8,6),$C7,0)</f>
        <v>10.526336229836025</v>
      </c>
      <c r="F10" s="120">
        <f ca="1">[1]!ripe([1]!Olekuvorrand($C7,$T8,$Y8,$X8,$W8,F$4,[1]!juhe($T8,6)),[1]!juhe($T8,6),$C7,0)</f>
        <v>10.697645905908052</v>
      </c>
      <c r="G10" s="120">
        <f ca="1">[1]!ripe([1]!Olekuvorrand($C7,$T8,$Y8,$X8,$W8,G$4,[1]!juhe($T8,6)),[1]!juhe($T8,6),$C7,0)</f>
        <v>10.867766192766201</v>
      </c>
      <c r="H10" s="120">
        <f ca="1">[1]!ripe([1]!Olekuvorrand($C7,$T8,$Y8,$X8,$W8,H$4,[1]!juhe($T8,6)),[1]!juhe($T8,6),$C7,0)</f>
        <v>11.036681768128597</v>
      </c>
      <c r="I10" s="120">
        <f ca="1">[1]!ripe([1]!Olekuvorrand($C7,$T8,$Y8,$X8,$W8,I$4,[1]!juhe($T8,6)),[1]!juhe($T8,6),$C7,0)</f>
        <v>11.204370231982356</v>
      </c>
      <c r="J10" s="120">
        <f ca="1">[1]!ripe([1]!Olekuvorrand($C7,$T8,$Y8,$X8,$W8,J$4,[1]!juhe($T8,6)),[1]!juhe($T8,6),$C7,0)</f>
        <v>11.370821774419964</v>
      </c>
      <c r="K10" s="120">
        <f ca="1">[1]!ripe([1]!Olekuvorrand($C7,$T8,$Y8,$X8,$W8,K$4,[1]!juhe($T8,6)),[1]!juhe($T8,6),$C7,0)</f>
        <v>11.536038977842869</v>
      </c>
      <c r="L10" s="120">
        <f ca="1">[1]!ripe([1]!Olekuvorrand($C7,$T8,$Y8,$X8,$W8,L$4,[1]!juhe($T8,6)),[1]!juhe($T8,6),$C7,0)</f>
        <v>11.699999905817254</v>
      </c>
      <c r="M10" s="120">
        <f ca="1">[1]!ripe([1]!Olekuvorrand($C7,$T8,$Y8,$X8,$W8,M$4,[1]!juhe($T8,6)),[1]!juhe($T8,6),$C7,0)</f>
        <v>11.862715279667681</v>
      </c>
      <c r="N10" s="120">
        <f ca="1">[1]!ripe([1]!Olekuvorrand($C7,$T8,$Y8,$X8,$W8,N$4,[1]!juhe($T8,6)),[1]!juhe($T8,6),$C7,0)</f>
        <v>12.024179794694037</v>
      </c>
      <c r="O10" s="207"/>
      <c r="Q10" s="139"/>
      <c r="R10" s="129"/>
      <c r="S10" s="129"/>
      <c r="T10" s="129"/>
      <c r="U10" s="129"/>
      <c r="V10" s="129"/>
      <c r="W10" s="129"/>
      <c r="X10" s="129"/>
      <c r="Y10" s="129"/>
      <c r="Z10"/>
      <c r="AC10" s="121"/>
    </row>
    <row r="11" spans="1:29" x14ac:dyDescent="0.2">
      <c r="A11" s="105"/>
      <c r="B11" s="113" t="str">
        <f ca="1">INDIRECT("Visangud!C" &amp; R11)</f>
        <v>103Y-104Y</v>
      </c>
      <c r="C11" s="106">
        <f ca="1">INDIRECT("Visangud!"&amp;Q11&amp;R11)</f>
        <v>427.66737956155202</v>
      </c>
      <c r="D11" s="10" t="s">
        <v>31</v>
      </c>
      <c r="E11" s="12">
        <f ca="1">[1]!ripe(E$7,[1]!juhe($T$8,6),$C11,0)</f>
        <v>9.6266900175944663</v>
      </c>
      <c r="F11" s="12">
        <f ca="1">[1]!ripe(F$7,[1]!juhe($T$8,6),$C11,0)</f>
        <v>9.7833585024834022</v>
      </c>
      <c r="G11" s="12">
        <f ca="1">[1]!ripe(G$7,[1]!juhe($T$8,6),$C11,0)</f>
        <v>9.938939250763676</v>
      </c>
      <c r="H11" s="12">
        <f ca="1">[1]!ripe(H$7,[1]!juhe($T$8,6),$C11,0)</f>
        <v>10.093418249690991</v>
      </c>
      <c r="I11" s="12">
        <f ca="1">[1]!ripe(I$7,[1]!juhe($T$8,6),$C11,0)</f>
        <v>10.246775013696988</v>
      </c>
      <c r="J11" s="12">
        <f ca="1">[1]!ripe(J$7,[1]!juhe($T$8,6),$C11,0)</f>
        <v>10.399000571289905</v>
      </c>
      <c r="K11" s="12">
        <f ca="1">[1]!ripe(K$7,[1]!juhe($T$8,6),$C11,0)</f>
        <v>10.550097284163094</v>
      </c>
      <c r="L11" s="12">
        <f ca="1">[1]!ripe(L$7,[1]!juhe($T$8,6),$C11,0)</f>
        <v>10.700045090706901</v>
      </c>
      <c r="M11" s="12">
        <f ca="1">[1]!ripe(M$7,[1]!juhe($T$8,6),$C11,0)</f>
        <v>10.848853795934765</v>
      </c>
      <c r="N11" s="12">
        <f ca="1">[1]!ripe(N$7,[1]!juhe($T$8,6),$C11,0)</f>
        <v>10.996518548519262</v>
      </c>
      <c r="O11" s="124"/>
      <c r="Q11" s="139" t="s">
        <v>197</v>
      </c>
      <c r="R11" s="222">
        <v>15</v>
      </c>
      <c r="S11" s="210"/>
      <c r="T11" s="209"/>
      <c r="U11" s="210"/>
      <c r="V11" s="209"/>
      <c r="W11" s="210"/>
      <c r="X11" s="129"/>
      <c r="Y11" s="129"/>
      <c r="Z11"/>
      <c r="AC11" s="11"/>
    </row>
    <row r="12" spans="1:29" x14ac:dyDescent="0.2">
      <c r="A12" s="105"/>
      <c r="B12" s="113" t="str">
        <f t="shared" ref="B12:B16" ca="1" si="1">INDIRECT("Visangud!C" &amp; R12)</f>
        <v>104Y-105Y</v>
      </c>
      <c r="C12" s="106">
        <f t="shared" ref="C12:C16" ca="1" si="2">INDIRECT("Visangud!"&amp;Q12&amp;R12)</f>
        <v>450.81823399219502</v>
      </c>
      <c r="D12" s="10" t="s">
        <v>31</v>
      </c>
      <c r="E12" s="12">
        <f ca="1">[1]!ripe(E$7,[1]!juhe($T$8,6),$C12,0)</f>
        <v>10.697140086175144</v>
      </c>
      <c r="F12" s="12">
        <f ca="1">[1]!ripe(F$7,[1]!juhe($T$8,6),$C12,0)</f>
        <v>10.871229490413024</v>
      </c>
      <c r="G12" s="12">
        <f ca="1">[1]!ripe(G$7,[1]!juhe($T$8,6),$C12,0)</f>
        <v>11.044110206009382</v>
      </c>
      <c r="H12" s="12">
        <f ca="1">[1]!ripe(H$7,[1]!juhe($T$8,6),$C12,0)</f>
        <v>11.215766662057867</v>
      </c>
      <c r="I12" s="12">
        <f ca="1">[1]!ripe(I$7,[1]!juhe($T$8,6),$C12,0)</f>
        <v>11.386176095075486</v>
      </c>
      <c r="J12" s="12">
        <f ca="1">[1]!ripe(J$7,[1]!juhe($T$8,6),$C12,0)</f>
        <v>11.55532853597588</v>
      </c>
      <c r="K12" s="12">
        <f ca="1">[1]!ripe(K$7,[1]!juhe($T$8,6),$C12,0)</f>
        <v>11.72322660906341</v>
      </c>
      <c r="L12" s="12">
        <f ca="1">[1]!ripe(L$7,[1]!juhe($T$8,6),$C12,0)</f>
        <v>11.889848021956334</v>
      </c>
      <c r="M12" s="12">
        <f ca="1">[1]!ripe(M$7,[1]!juhe($T$8,6),$C12,0)</f>
        <v>12.055203669947021</v>
      </c>
      <c r="N12" s="12">
        <f ca="1">[1]!ripe(N$7,[1]!juhe($T$8,6),$C12,0)</f>
        <v>12.219288162259517</v>
      </c>
      <c r="O12" s="124"/>
      <c r="Q12" s="139" t="s">
        <v>197</v>
      </c>
      <c r="R12" s="222">
        <v>16</v>
      </c>
      <c r="S12" s="209"/>
      <c r="T12" s="209"/>
      <c r="U12" s="209"/>
      <c r="V12" s="209"/>
      <c r="W12" s="209"/>
      <c r="X12" s="129"/>
      <c r="Y12" s="129"/>
      <c r="Z12"/>
      <c r="AC12" s="11"/>
    </row>
    <row r="13" spans="1:29" x14ac:dyDescent="0.2">
      <c r="A13" s="105"/>
      <c r="B13" s="113" t="str">
        <f t="shared" ca="1" si="1"/>
        <v>105Y-106Y</v>
      </c>
      <c r="C13" s="106">
        <f t="shared" ca="1" si="2"/>
        <v>450.82239030482776</v>
      </c>
      <c r="D13" s="10" t="s">
        <v>31</v>
      </c>
      <c r="E13" s="12">
        <f ca="1">[1]!ripe(E$7,[1]!juhe($T$8,6),$C13,0)</f>
        <v>10.697337331362116</v>
      </c>
      <c r="F13" s="12">
        <f ca="1">[1]!ripe(F$7,[1]!juhe($T$8,6),$C13,0)</f>
        <v>10.871429945644625</v>
      </c>
      <c r="G13" s="12">
        <f ca="1">[1]!ripe(G$7,[1]!juhe($T$8,6),$C13,0)</f>
        <v>11.044313848998531</v>
      </c>
      <c r="H13" s="12">
        <f ca="1">[1]!ripe(H$7,[1]!juhe($T$8,6),$C13,0)</f>
        <v>11.215973470230374</v>
      </c>
      <c r="I13" s="12">
        <f ca="1">[1]!ripe(I$7,[1]!juhe($T$8,6),$C13,0)</f>
        <v>11.386386045437421</v>
      </c>
      <c r="J13" s="12">
        <f ca="1">[1]!ripe(J$7,[1]!juhe($T$8,6),$C13,0)</f>
        <v>11.555541605349491</v>
      </c>
      <c r="K13" s="12">
        <f ca="1">[1]!ripe(K$7,[1]!juhe($T$8,6),$C13,0)</f>
        <v>11.723442774319336</v>
      </c>
      <c r="L13" s="12">
        <f ca="1">[1]!ripe(L$7,[1]!juhe($T$8,6),$C13,0)</f>
        <v>11.890067259554165</v>
      </c>
      <c r="M13" s="12">
        <f ca="1">[1]!ripe(M$7,[1]!juhe($T$8,6),$C13,0)</f>
        <v>12.055425956547243</v>
      </c>
      <c r="N13" s="12">
        <f ca="1">[1]!ripe(N$7,[1]!juhe($T$8,6),$C13,0)</f>
        <v>12.219513474423216</v>
      </c>
      <c r="O13" s="124"/>
      <c r="Q13" s="139" t="s">
        <v>197</v>
      </c>
      <c r="R13" s="222">
        <v>17</v>
      </c>
      <c r="S13" s="209"/>
      <c r="T13" s="209"/>
      <c r="U13" s="209"/>
      <c r="V13" s="209"/>
      <c r="W13" s="209"/>
      <c r="X13" s="129"/>
      <c r="Y13" s="129"/>
      <c r="Z13"/>
      <c r="AC13" s="11"/>
    </row>
    <row r="14" spans="1:29" x14ac:dyDescent="0.2">
      <c r="A14" s="105"/>
      <c r="B14" s="113" t="str">
        <f t="shared" ca="1" si="1"/>
        <v>106Y-107Y</v>
      </c>
      <c r="C14" s="106">
        <f t="shared" ca="1" si="2"/>
        <v>450.81940475091346</v>
      </c>
      <c r="D14" s="10" t="s">
        <v>31</v>
      </c>
      <c r="E14" s="12">
        <f ca="1">[1]!ripe(E$7,[1]!juhe($T$8,6),$C14,0)</f>
        <v>10.697195646422427</v>
      </c>
      <c r="F14" s="12">
        <f ca="1">[1]!ripe(F$7,[1]!juhe($T$8,6),$C14,0)</f>
        <v>10.871285954869307</v>
      </c>
      <c r="G14" s="12">
        <f ca="1">[1]!ripe(G$7,[1]!juhe($T$8,6),$C14,0)</f>
        <v>11.044167568396817</v>
      </c>
      <c r="H14" s="12">
        <f ca="1">[1]!ripe(H$7,[1]!juhe($T$8,6),$C14,0)</f>
        <v>11.215824916017729</v>
      </c>
      <c r="I14" s="12">
        <f ca="1">[1]!ripe(I$7,[1]!juhe($T$8,6),$C14,0)</f>
        <v>11.386235234130819</v>
      </c>
      <c r="J14" s="12">
        <f ca="1">[1]!ripe(J$7,[1]!juhe($T$8,6),$C14,0)</f>
        <v>11.555388553597949</v>
      </c>
      <c r="K14" s="12">
        <f ca="1">[1]!ripe(K$7,[1]!juhe($T$8,6),$C14,0)</f>
        <v>11.723287498737109</v>
      </c>
      <c r="L14" s="12">
        <f ca="1">[1]!ripe(L$7,[1]!juhe($T$8,6),$C14,0)</f>
        <v>11.889909777050775</v>
      </c>
      <c r="M14" s="12">
        <f ca="1">[1]!ripe(M$7,[1]!juhe($T$8,6),$C14,0)</f>
        <v>12.055266283887903</v>
      </c>
      <c r="N14" s="12">
        <f ca="1">[1]!ripe(N$7,[1]!juhe($T$8,6),$C14,0)</f>
        <v>12.219351628444539</v>
      </c>
      <c r="O14" s="124"/>
      <c r="Q14" s="139" t="s">
        <v>197</v>
      </c>
      <c r="R14" s="222">
        <v>18</v>
      </c>
      <c r="S14" s="129"/>
      <c r="T14" s="129"/>
      <c r="U14" s="129"/>
      <c r="V14" s="129"/>
      <c r="W14" s="129"/>
      <c r="X14" s="129"/>
      <c r="Y14" s="129"/>
      <c r="Z14"/>
      <c r="AC14" s="11"/>
    </row>
    <row r="15" spans="1:29" x14ac:dyDescent="0.2">
      <c r="A15" s="105"/>
      <c r="B15" s="113" t="str">
        <f t="shared" ca="1" si="1"/>
        <v>107Y-108Y</v>
      </c>
      <c r="C15" s="106">
        <f t="shared" ca="1" si="2"/>
        <v>450.88263938651085</v>
      </c>
      <c r="D15" s="10" t="s">
        <v>31</v>
      </c>
      <c r="E15" s="12">
        <f ca="1">[1]!ripe(E$7,[1]!juhe($T$8,6),$C15,0)</f>
        <v>10.700196762620095</v>
      </c>
      <c r="F15" s="12">
        <f ca="1">[1]!ripe(F$7,[1]!juhe($T$8,6),$C15,0)</f>
        <v>10.874335912395283</v>
      </c>
      <c r="G15" s="12">
        <f ca="1">[1]!ripe(G$7,[1]!juhe($T$8,6),$C15,0)</f>
        <v>11.047266028149711</v>
      </c>
      <c r="H15" s="12">
        <f ca="1">[1]!ripe(H$7,[1]!juhe($T$8,6),$C15,0)</f>
        <v>11.218971534527686</v>
      </c>
      <c r="I15" s="12">
        <f ca="1">[1]!ripe(I$7,[1]!juhe($T$8,6),$C15,0)</f>
        <v>11.389429661541618</v>
      </c>
      <c r="J15" s="12">
        <f ca="1">[1]!ripe(J$7,[1]!juhe($T$8,6),$C15,0)</f>
        <v>11.558630437256507</v>
      </c>
      <c r="K15" s="12">
        <f ca="1">[1]!ripe(K$7,[1]!juhe($T$8,6),$C15,0)</f>
        <v>11.726576486726605</v>
      </c>
      <c r="L15" s="12">
        <f ca="1">[1]!ripe(L$7,[1]!juhe($T$8,6),$C15,0)</f>
        <v>11.893245511200186</v>
      </c>
      <c r="M15" s="12">
        <f ca="1">[1]!ripe(M$7,[1]!juhe($T$8,6),$C15,0)</f>
        <v>12.058648409082918</v>
      </c>
      <c r="N15" s="12">
        <f ca="1">[1]!ripe(N$7,[1]!juhe($T$8,6),$C15,0)</f>
        <v>12.222779788058446</v>
      </c>
      <c r="O15" s="124"/>
      <c r="Q15" s="139" t="s">
        <v>197</v>
      </c>
      <c r="R15" s="222">
        <v>19</v>
      </c>
      <c r="S15" s="129"/>
      <c r="T15" s="129"/>
      <c r="U15" s="129"/>
      <c r="V15" s="129"/>
      <c r="W15" s="129"/>
      <c r="X15" s="129"/>
      <c r="Y15" s="129"/>
      <c r="Z15"/>
      <c r="AC15" s="11"/>
    </row>
    <row r="16" spans="1:29" x14ac:dyDescent="0.2">
      <c r="A16" s="105"/>
      <c r="B16" s="113" t="str">
        <f t="shared" ca="1" si="1"/>
        <v>108Y-109Y</v>
      </c>
      <c r="C16" s="106">
        <f t="shared" ca="1" si="2"/>
        <v>450.73649608150839</v>
      </c>
      <c r="D16" s="10" t="s">
        <v>31</v>
      </c>
      <c r="E16" s="12">
        <f ca="1">[1]!ripe(E$7,[1]!juhe($T$8,6),$C16,0)</f>
        <v>10.693261438198142</v>
      </c>
      <c r="F16" s="12">
        <f ca="1">[1]!ripe(F$7,[1]!juhe($T$8,6),$C16,0)</f>
        <v>10.867287719815383</v>
      </c>
      <c r="G16" s="12">
        <f ca="1">[1]!ripe(G$7,[1]!juhe($T$8,6),$C16,0)</f>
        <v>11.040105751046349</v>
      </c>
      <c r="H16" s="12">
        <f ca="1">[1]!ripe(H$7,[1]!juhe($T$8,6),$C16,0)</f>
        <v>11.211699966630503</v>
      </c>
      <c r="I16" s="12">
        <f ca="1">[1]!ripe(I$7,[1]!juhe($T$8,6),$C16,0)</f>
        <v>11.382047611338601</v>
      </c>
      <c r="J16" s="12">
        <f ca="1">[1]!ripe(J$7,[1]!juhe($T$8,6),$C16,0)</f>
        <v>11.551138719698949</v>
      </c>
      <c r="K16" s="12">
        <f ca="1">[1]!ripe(K$7,[1]!juhe($T$8,6),$C16,0)</f>
        <v>11.718975915064371</v>
      </c>
      <c r="L16" s="12">
        <f ca="1">[1]!ripe(L$7,[1]!juhe($T$8,6),$C16,0)</f>
        <v>11.885536913136059</v>
      </c>
      <c r="M16" s="12">
        <f ca="1">[1]!ripe(M$7,[1]!juhe($T$8,6),$C16,0)</f>
        <v>12.050832605255888</v>
      </c>
      <c r="N16" s="12">
        <f ca="1">[1]!ripe(N$7,[1]!juhe($T$8,6),$C16,0)</f>
        <v>12.214857602602528</v>
      </c>
      <c r="O16" s="124"/>
      <c r="Q16" s="139" t="s">
        <v>197</v>
      </c>
      <c r="R16" s="222">
        <v>20</v>
      </c>
      <c r="S16" s="129"/>
      <c r="T16" s="129"/>
      <c r="U16" s="129"/>
      <c r="V16" s="129"/>
      <c r="W16" s="129"/>
      <c r="X16" s="129"/>
      <c r="Y16" s="129"/>
      <c r="Z16"/>
      <c r="AC16" s="11"/>
    </row>
    <row r="17" spans="1:29" s="114" customFormat="1" ht="12.75" hidden="1" customHeight="1" x14ac:dyDescent="0.2">
      <c r="A17" s="187">
        <v>2</v>
      </c>
      <c r="B17" s="188" t="str">
        <f ca="1">R18</f>
        <v>109Y- 117Y</v>
      </c>
      <c r="C17" s="189">
        <f ca="1">S18</f>
        <v>443.42681236767572</v>
      </c>
      <c r="D17" s="118" t="s">
        <v>130</v>
      </c>
      <c r="E17" s="119">
        <f ca="1">[1]!Olekuvorrand($C17,$T18,$Y18,$X18,$W18,E$4,[1]!juhe($T18,6),TRUE)</f>
        <v>127.30365991592407</v>
      </c>
      <c r="F17" s="119">
        <f ca="1">[1]!Olekuvorrand($C17,$T18,$Y18,$X18,$W18,F$4,[1]!juhe($T18,6),TRUE)</f>
        <v>125.23192167282104</v>
      </c>
      <c r="G17" s="119">
        <f ca="1">[1]!Olekuvorrand($C17,$T18,$Y18,$X18,$W18,G$4,[1]!juhe($T18,6),TRUE)</f>
        <v>123.24017286300659</v>
      </c>
      <c r="H17" s="119">
        <f ca="1">[1]!Olekuvorrand($C17,$T18,$Y18,$X18,$W18,H$4,[1]!juhe($T18,6),TRUE)</f>
        <v>121.32424116134644</v>
      </c>
      <c r="I17" s="119">
        <f ca="1">[1]!Olekuvorrand($C17,$T18,$Y18,$X18,$W18,I$4,[1]!juhe($T18,6),TRUE)</f>
        <v>119.48007345199585</v>
      </c>
      <c r="J17" s="119">
        <f ca="1">[1]!Olekuvorrand($C17,$T18,$Y18,$X18,$W18,J$4,[1]!juhe($T18,6),TRUE)</f>
        <v>117.70409345626831</v>
      </c>
      <c r="K17" s="119">
        <f ca="1">[1]!Olekuvorrand($C17,$T18,$Y18,$X18,$W18,K$4,[1]!juhe($T18,6),TRUE)</f>
        <v>115.99284410476685</v>
      </c>
      <c r="L17" s="119">
        <f ca="1">[1]!Olekuvorrand($C17,$T18,$Y18,$X18,$W18,L$4,[1]!juhe($T18,6),TRUE)</f>
        <v>114.34310674667358</v>
      </c>
      <c r="M17" s="119">
        <f ca="1">[1]!Olekuvorrand($C17,$T18,$Y18,$X18,$W18,M$4,[1]!juhe($T18,6),TRUE)</f>
        <v>112.75166273117065</v>
      </c>
      <c r="N17" s="119">
        <f ca="1">[1]!Olekuvorrand($C17,$T18,$Y18,$X18,$W18,N$4,[1]!juhe($T18,6),TRUE)</f>
        <v>111.21565103530884</v>
      </c>
      <c r="O17" s="207">
        <f ca="1">U18</f>
        <v>117.70409345626831</v>
      </c>
      <c r="Q17" s="141" t="s">
        <v>201</v>
      </c>
      <c r="R17" s="129" t="str">
        <f t="shared" ref="R17:Y18" ca="1" si="3">INDIRECT("'"&amp;$S$1&amp;"'!"&amp;$Q17&amp;R$4)</f>
        <v>109Y- 117Y</v>
      </c>
      <c r="S17" s="129">
        <f t="shared" ca="1" si="3"/>
        <v>443.42681236767572</v>
      </c>
      <c r="T17" s="129" t="str">
        <f t="shared" ca="1" si="3"/>
        <v>9,9-S1A - 19</v>
      </c>
      <c r="U17" s="129">
        <f t="shared" ca="1" si="3"/>
        <v>117.70409345626831</v>
      </c>
      <c r="V17" s="129">
        <f t="shared" ca="1" si="3"/>
        <v>6</v>
      </c>
      <c r="W17" s="129">
        <f t="shared" ca="1" si="3"/>
        <v>0.2754127303316522</v>
      </c>
      <c r="X17" s="129">
        <f t="shared" ca="1" si="3"/>
        <v>-5</v>
      </c>
      <c r="Y17" s="129">
        <f t="shared" ca="1" si="3"/>
        <v>430.94021081924438</v>
      </c>
      <c r="Z17"/>
    </row>
    <row r="18" spans="1:29" s="114" customFormat="1" x14ac:dyDescent="0.2">
      <c r="A18" s="187"/>
      <c r="B18" s="188"/>
      <c r="C18" s="189"/>
      <c r="D18" s="118" t="s">
        <v>32</v>
      </c>
      <c r="E18" s="119">
        <f ca="1">E17*[1]!juhe($T18,2)/10</f>
        <v>854.20755803585052</v>
      </c>
      <c r="F18" s="119">
        <f ca="1">F17*[1]!juhe($T18,2)/10</f>
        <v>840.30619442462921</v>
      </c>
      <c r="G18" s="119">
        <f ca="1">G17*[1]!juhe($T18,2)/10</f>
        <v>826.94155991077423</v>
      </c>
      <c r="H18" s="119">
        <f ca="1">H17*[1]!juhe($T18,2)/10</f>
        <v>814.08565819263447</v>
      </c>
      <c r="I18" s="119">
        <f ca="1">I17*[1]!juhe($T18,2)/10</f>
        <v>801.71129286289204</v>
      </c>
      <c r="J18" s="119">
        <f ca="1">J17*[1]!juhe($T18,2)/10</f>
        <v>789.79446709156025</v>
      </c>
      <c r="K18" s="119">
        <f ca="1">K17*[1]!juhe($T18,2)/10</f>
        <v>778.31198394298542</v>
      </c>
      <c r="L18" s="119">
        <f ca="1">L17*[1]!juhe($T18,2)/10</f>
        <v>767.24224627017963</v>
      </c>
      <c r="M18" s="119">
        <f ca="1">M17*[1]!juhe($T18,2)/10</f>
        <v>756.56365692615498</v>
      </c>
      <c r="N18" s="119">
        <f ca="1">N17*[1]!juhe($T18,2)/10</f>
        <v>746.25701844692219</v>
      </c>
      <c r="O18" s="207"/>
      <c r="Q18" s="141" t="s">
        <v>201</v>
      </c>
      <c r="R18" s="129" t="str">
        <f t="shared" ca="1" si="3"/>
        <v>109Y- 117Y</v>
      </c>
      <c r="S18" s="129">
        <f t="shared" ca="1" si="3"/>
        <v>443.42681236767572</v>
      </c>
      <c r="T18" s="129" t="str">
        <f t="shared" ca="1" si="3"/>
        <v>9,9-S1A - 19</v>
      </c>
      <c r="U18" s="129">
        <f t="shared" ca="1" si="3"/>
        <v>117.70409345626831</v>
      </c>
      <c r="V18" s="129">
        <f t="shared" ca="1" si="3"/>
        <v>6</v>
      </c>
      <c r="W18" s="129">
        <f t="shared" ca="1" si="3"/>
        <v>0.2754127303316522</v>
      </c>
      <c r="X18" s="129">
        <f t="shared" ca="1" si="3"/>
        <v>-5</v>
      </c>
      <c r="Y18" s="129">
        <f t="shared" ca="1" si="3"/>
        <v>430.94021081924438</v>
      </c>
      <c r="Z18">
        <v>1</v>
      </c>
    </row>
    <row r="19" spans="1:29" s="114" customFormat="1" x14ac:dyDescent="0.2">
      <c r="A19" s="187"/>
      <c r="B19" s="188"/>
      <c r="C19" s="189"/>
      <c r="D19" s="118" t="s">
        <v>31</v>
      </c>
      <c r="E19" s="120">
        <f ca="1">[1]!ripe([1]!Olekuvorrand($C17,$T18,$Y18,$X18,$W18,E$4,[1]!juhe($T18,6),TRUE),[1]!juhe($T18,6),$C17,0)</f>
        <v>10.329202815160956</v>
      </c>
      <c r="F19" s="120">
        <f ca="1">[1]!ripe([1]!Olekuvorrand($C17,$T18,$Y18,$X18,$W18,F$4,[1]!juhe($T18,6),TRUE),[1]!juhe($T18,6),$C17,0)</f>
        <v>10.500081008253323</v>
      </c>
      <c r="G19" s="120">
        <f ca="1">[1]!ripe([1]!Olekuvorrand($C17,$T18,$Y18,$X18,$W18,G$4,[1]!juhe($T18,6),TRUE),[1]!juhe($T18,6),$C17,0)</f>
        <v>10.669778302287398</v>
      </c>
      <c r="H19" s="120">
        <f ca="1">[1]!ripe([1]!Olekuvorrand($C17,$T18,$Y18,$X18,$W18,H$4,[1]!juhe($T18,6),TRUE),[1]!juhe($T18,6),$C17,0)</f>
        <v>10.838273619491583</v>
      </c>
      <c r="I19" s="120">
        <f ca="1">[1]!ripe([1]!Olekuvorrand($C17,$T18,$Y18,$X18,$W18,I$4,[1]!juhe($T18,6),TRUE),[1]!juhe($T18,6),$C17,0)</f>
        <v>11.005561717470558</v>
      </c>
      <c r="J19" s="120">
        <f ca="1">[1]!ripe([1]!Olekuvorrand($C17,$T18,$Y18,$X18,$W18,J$4,[1]!juhe($T18,6),TRUE),[1]!juhe($T18,6),$C17,0)</f>
        <v>11.17161930202886</v>
      </c>
      <c r="K19" s="120">
        <f ca="1">[1]!ripe([1]!Olekuvorrand($C17,$T18,$Y18,$X18,$W18,K$4,[1]!juhe($T18,6),TRUE),[1]!juhe($T18,6),$C17,0)</f>
        <v>11.33643486831113</v>
      </c>
      <c r="L19" s="120">
        <f ca="1">[1]!ripe([1]!Olekuvorrand($C17,$T18,$Y18,$X18,$W18,L$4,[1]!juhe($T18,6),TRUE),[1]!juhe($T18,6),$C17,0)</f>
        <v>11.499996456254323</v>
      </c>
      <c r="M19" s="120">
        <f ca="1">[1]!ripe([1]!Olekuvorrand($C17,$T18,$Y18,$X18,$W18,M$4,[1]!juhe($T18,6),TRUE),[1]!juhe($T18,6),$C17,0)</f>
        <v>11.662314244704561</v>
      </c>
      <c r="N19" s="120">
        <f ca="1">[1]!ripe([1]!Olekuvorrand($C17,$T18,$Y18,$X18,$W18,N$4,[1]!juhe($T18,6),TRUE),[1]!juhe($T18,6),$C17,0)</f>
        <v>11.823383760675789</v>
      </c>
      <c r="O19" s="207"/>
      <c r="Q19" s="141" t="s">
        <v>201</v>
      </c>
      <c r="R19" s="129"/>
      <c r="S19" s="129"/>
      <c r="T19" s="129"/>
      <c r="U19" s="129"/>
      <c r="V19" s="129"/>
      <c r="W19" s="129"/>
      <c r="X19" s="129"/>
      <c r="Y19" s="129"/>
      <c r="Z19"/>
    </row>
    <row r="20" spans="1:29" s="114" customFormat="1" x14ac:dyDescent="0.2">
      <c r="A20" s="187"/>
      <c r="B20" s="188"/>
      <c r="C20" s="189"/>
      <c r="D20" s="118" t="s">
        <v>195</v>
      </c>
      <c r="E20" s="120">
        <f ca="1">[1]!ripe([1]!Olekuvorrand($C17,$T18,$Y18,$X18,$W18,E$4,[1]!juhe($T18,6)),[1]!juhe($T18,6),$C17,0)</f>
        <v>10.329202815160956</v>
      </c>
      <c r="F20" s="120">
        <f ca="1">[1]!ripe([1]!Olekuvorrand($C17,$T18,$Y18,$X18,$W18,F$4,[1]!juhe($T18,6)),[1]!juhe($T18,6),$C17,0)</f>
        <v>10.500081008253323</v>
      </c>
      <c r="G20" s="120">
        <f ca="1">[1]!ripe([1]!Olekuvorrand($C17,$T18,$Y18,$X18,$W18,G$4,[1]!juhe($T18,6)),[1]!juhe($T18,6),$C17,0)</f>
        <v>10.669778302287398</v>
      </c>
      <c r="H20" s="120">
        <f ca="1">[1]!ripe([1]!Olekuvorrand($C17,$T18,$Y18,$X18,$W18,H$4,[1]!juhe($T18,6)),[1]!juhe($T18,6),$C17,0)</f>
        <v>10.838273619491583</v>
      </c>
      <c r="I20" s="120">
        <f ca="1">[1]!ripe([1]!Olekuvorrand($C17,$T18,$Y18,$X18,$W18,I$4,[1]!juhe($T18,6)),[1]!juhe($T18,6),$C17,0)</f>
        <v>11.005561717470558</v>
      </c>
      <c r="J20" s="120">
        <f ca="1">[1]!ripe([1]!Olekuvorrand($C17,$T18,$Y18,$X18,$W18,J$4,[1]!juhe($T18,6)),[1]!juhe($T18,6),$C17,0)</f>
        <v>11.17161930202886</v>
      </c>
      <c r="K20" s="120">
        <f ca="1">[1]!ripe([1]!Olekuvorrand($C17,$T18,$Y18,$X18,$W18,K$4,[1]!juhe($T18,6)),[1]!juhe($T18,6),$C17,0)</f>
        <v>11.33643486831113</v>
      </c>
      <c r="L20" s="120">
        <f ca="1">[1]!ripe([1]!Olekuvorrand($C17,$T18,$Y18,$X18,$W18,L$4,[1]!juhe($T18,6)),[1]!juhe($T18,6),$C17,0)</f>
        <v>11.499996456254323</v>
      </c>
      <c r="M20" s="120">
        <f ca="1">[1]!ripe([1]!Olekuvorrand($C17,$T18,$Y18,$X18,$W18,M$4,[1]!juhe($T18,6)),[1]!juhe($T18,6),$C17,0)</f>
        <v>11.662314244704561</v>
      </c>
      <c r="N20" s="120">
        <f ca="1">[1]!ripe([1]!Olekuvorrand($C17,$T18,$Y18,$X18,$W18,N$4,[1]!juhe($T18,6)),[1]!juhe($T18,6),$C17,0)</f>
        <v>11.823383760675789</v>
      </c>
      <c r="O20" s="207"/>
      <c r="Q20" s="141" t="s">
        <v>201</v>
      </c>
      <c r="R20"/>
      <c r="S20"/>
      <c r="T20"/>
      <c r="U20"/>
      <c r="V20"/>
      <c r="W20"/>
      <c r="X20"/>
      <c r="Y20"/>
      <c r="Z20"/>
      <c r="AC20" s="121"/>
    </row>
    <row r="21" spans="1:29" x14ac:dyDescent="0.2">
      <c r="A21" s="105"/>
      <c r="B21" s="113" t="str">
        <f ca="1">INDIRECT("Visangud!C" &amp; R21)</f>
        <v>109Y-110Y</v>
      </c>
      <c r="C21" s="106">
        <f ca="1">INDIRECT("Visangud!"&amp;Q21&amp;R21)</f>
        <v>443.31831024674671</v>
      </c>
      <c r="D21" s="10" t="s">
        <v>31</v>
      </c>
      <c r="E21" s="12">
        <f ca="1">[1]!ripe(E$17,[1]!juhe($T$8,6),$C21,0)</f>
        <v>10.324148527667766</v>
      </c>
      <c r="F21" s="12">
        <f ca="1">[1]!ripe(F$17,[1]!juhe($T$8,6),$C21,0)</f>
        <v>10.494943106610071</v>
      </c>
      <c r="G21" s="12">
        <f ca="1">[1]!ripe(G$17,[1]!juhe($T$8,6),$C21,0)</f>
        <v>10.664557364331838</v>
      </c>
      <c r="H21" s="12">
        <f ca="1">[1]!ripe(H$17,[1]!juhe($T$8,6),$C21,0)</f>
        <v>10.832970233375246</v>
      </c>
      <c r="I21" s="12">
        <f ca="1">[1]!ripe(I$17,[1]!juhe($T$8,6),$C21,0)</f>
        <v>11.000176473910185</v>
      </c>
      <c r="J21" s="12">
        <f ca="1">[1]!ripe(J$17,[1]!juhe($T$8,6),$C21,0)</f>
        <v>11.166152803139513</v>
      </c>
      <c r="K21" s="12">
        <f ca="1">[1]!ripe(K$17,[1]!juhe($T$8,6),$C21,0)</f>
        <v>11.330887721837428</v>
      </c>
      <c r="L21" s="12">
        <f ca="1">[1]!ripe(L$17,[1]!juhe($T$8,6),$C21,0)</f>
        <v>11.494369275793188</v>
      </c>
      <c r="M21" s="12">
        <f ca="1">[1]!ripe(M$17,[1]!juhe($T$8,6),$C21,0)</f>
        <v>11.656607638872199</v>
      </c>
      <c r="N21" s="12">
        <f ca="1">[1]!ripe(N$17,[1]!juhe($T$8,6),$C21,0)</f>
        <v>11.817598340277124</v>
      </c>
      <c r="O21" s="124"/>
      <c r="Q21" s="141" t="s">
        <v>201</v>
      </c>
      <c r="R21">
        <v>21</v>
      </c>
      <c r="S21"/>
      <c r="T21"/>
      <c r="U21"/>
      <c r="V21"/>
      <c r="W21"/>
      <c r="X21"/>
      <c r="Y21"/>
      <c r="Z21"/>
      <c r="AC21" s="11"/>
    </row>
    <row r="22" spans="1:29" x14ac:dyDescent="0.2">
      <c r="A22" s="105"/>
      <c r="B22" s="113" t="str">
        <f t="shared" ref="B22:B28" ca="1" si="4">INDIRECT("Visangud!C" &amp; R22)</f>
        <v>110Y-111Y</v>
      </c>
      <c r="C22" s="106">
        <f t="shared" ref="C22:C28" ca="1" si="5">INDIRECT("Visangud!"&amp;Q22&amp;R22)</f>
        <v>448.46203239510157</v>
      </c>
      <c r="D22" s="10" t="s">
        <v>31</v>
      </c>
      <c r="E22" s="12">
        <f ca="1">[1]!ripe(E$17,[1]!juhe($T$8,6),$C22,0)</f>
        <v>10.565115933089865</v>
      </c>
      <c r="F22" s="12">
        <f ca="1">[1]!ripe(F$17,[1]!juhe($T$8,6),$C22,0)</f>
        <v>10.739896886931522</v>
      </c>
      <c r="G22" s="12">
        <f ca="1">[1]!ripe(G$17,[1]!juhe($T$8,6),$C22,0)</f>
        <v>10.913469970651992</v>
      </c>
      <c r="H22" s="12">
        <f ca="1">[1]!ripe(H$17,[1]!juhe($T$8,6),$C22,0)</f>
        <v>11.085813625075359</v>
      </c>
      <c r="I22" s="12">
        <f ca="1">[1]!ripe(I$17,[1]!juhe($T$8,6),$C22,0)</f>
        <v>11.256922488072975</v>
      </c>
      <c r="J22" s="12">
        <f ca="1">[1]!ripe(J$17,[1]!juhe($T$8,6),$C22,0)</f>
        <v>11.426772733423201</v>
      </c>
      <c r="K22" s="12">
        <f ca="1">[1]!ripe(K$17,[1]!juhe($T$8,6),$C22,0)</f>
        <v>11.595352593506323</v>
      </c>
      <c r="L22" s="12">
        <f ca="1">[1]!ripe(L$17,[1]!juhe($T$8,6),$C22,0)</f>
        <v>11.762649835098262</v>
      </c>
      <c r="M22" s="12">
        <f ca="1">[1]!ripe(M$17,[1]!juhe($T$8,6),$C22,0)</f>
        <v>11.928674869524194</v>
      </c>
      <c r="N22" s="12">
        <f ca="1">[1]!ripe(N$17,[1]!juhe($T$8,6),$C22,0)</f>
        <v>12.093423121637603</v>
      </c>
      <c r="O22" s="124"/>
      <c r="Q22" s="141" t="s">
        <v>201</v>
      </c>
      <c r="R22">
        <v>22</v>
      </c>
      <c r="S22"/>
      <c r="T22"/>
      <c r="U22"/>
      <c r="V22"/>
      <c r="W22"/>
      <c r="X22"/>
      <c r="Y22"/>
      <c r="Z22"/>
      <c r="AC22" s="11"/>
    </row>
    <row r="23" spans="1:29" x14ac:dyDescent="0.2">
      <c r="A23" s="105"/>
      <c r="B23" s="113" t="str">
        <f t="shared" ca="1" si="4"/>
        <v>111Y-112Y</v>
      </c>
      <c r="C23" s="106">
        <f t="shared" ca="1" si="5"/>
        <v>437.42198870199996</v>
      </c>
      <c r="D23" s="10" t="s">
        <v>31</v>
      </c>
      <c r="E23" s="12">
        <f ca="1">[1]!ripe(E$17,[1]!juhe($T$8,6),$C23,0)</f>
        <v>10.051343774661783</v>
      </c>
      <c r="F23" s="12">
        <f ca="1">[1]!ripe(F$17,[1]!juhe($T$8,6),$C23,0)</f>
        <v>10.217625286710653</v>
      </c>
      <c r="G23" s="12">
        <f ca="1">[1]!ripe(G$17,[1]!juhe($T$8,6),$C23,0)</f>
        <v>10.3827576662843</v>
      </c>
      <c r="H23" s="12">
        <f ca="1">[1]!ripe(H$17,[1]!juhe($T$8,6),$C23,0)</f>
        <v>10.546720402610294</v>
      </c>
      <c r="I23" s="12">
        <f ca="1">[1]!ripe(I$17,[1]!juhe($T$8,6),$C23,0)</f>
        <v>10.709508394315518</v>
      </c>
      <c r="J23" s="12">
        <f ca="1">[1]!ripe(J$17,[1]!juhe($T$8,6),$C23,0)</f>
        <v>10.871098973826221</v>
      </c>
      <c r="K23" s="12">
        <f ca="1">[1]!ripe(K$17,[1]!juhe($T$8,6),$C23,0)</f>
        <v>11.031480945771539</v>
      </c>
      <c r="L23" s="12">
        <f ca="1">[1]!ripe(L$17,[1]!juhe($T$8,6),$C23,0)</f>
        <v>11.190642671818159</v>
      </c>
      <c r="M23" s="12">
        <f ca="1">[1]!ripe(M$17,[1]!juhe($T$8,6),$C23,0)</f>
        <v>11.348594056997806</v>
      </c>
      <c r="N23" s="12">
        <f ca="1">[1]!ripe(N$17,[1]!juhe($T$8,6),$C23,0)</f>
        <v>11.505330748649255</v>
      </c>
      <c r="O23" s="124"/>
      <c r="Q23" s="141" t="s">
        <v>201</v>
      </c>
      <c r="R23">
        <v>23</v>
      </c>
      <c r="S23"/>
      <c r="T23"/>
      <c r="U23"/>
      <c r="V23"/>
      <c r="W23"/>
      <c r="X23"/>
      <c r="Y23"/>
      <c r="Z23"/>
      <c r="AC23" s="11"/>
    </row>
    <row r="24" spans="1:29" x14ac:dyDescent="0.2">
      <c r="A24" s="105"/>
      <c r="B24" s="113" t="str">
        <f t="shared" ca="1" si="4"/>
        <v>112Y-113Y</v>
      </c>
      <c r="C24" s="106">
        <f t="shared" ca="1" si="5"/>
        <v>443.2931465746102</v>
      </c>
      <c r="D24" s="10" t="s">
        <v>31</v>
      </c>
      <c r="E24" s="12">
        <f ca="1">[1]!ripe(E$17,[1]!juhe($T$8,6),$C24,0)</f>
        <v>10.322976520514334</v>
      </c>
      <c r="F24" s="12">
        <f ca="1">[1]!ripe(F$17,[1]!juhe($T$8,6),$C24,0)</f>
        <v>10.493751710693706</v>
      </c>
      <c r="G24" s="12">
        <f ca="1">[1]!ripe(G$17,[1]!juhe($T$8,6),$C24,0)</f>
        <v>10.663346713643726</v>
      </c>
      <c r="H24" s="12">
        <f ca="1">[1]!ripe(H$17,[1]!juhe($T$8,6),$C24,0)</f>
        <v>10.831740464298171</v>
      </c>
      <c r="I24" s="12">
        <f ca="1">[1]!ripe(I$17,[1]!juhe($T$8,6),$C24,0)</f>
        <v>10.998927723421765</v>
      </c>
      <c r="J24" s="12">
        <f ca="1">[1]!ripe(J$17,[1]!juhe($T$8,6),$C24,0)</f>
        <v>11.164885210860447</v>
      </c>
      <c r="K24" s="12">
        <f ca="1">[1]!ripe(K$17,[1]!juhe($T$8,6),$C24,0)</f>
        <v>11.32960142869382</v>
      </c>
      <c r="L24" s="12">
        <f ca="1">[1]!ripe(L$17,[1]!juhe($T$8,6),$C24,0)</f>
        <v>11.493064424068194</v>
      </c>
      <c r="M24" s="12">
        <f ca="1">[1]!ripe(M$17,[1]!juhe($T$8,6),$C24,0)</f>
        <v>11.655284369694028</v>
      </c>
      <c r="N24" s="12">
        <f ca="1">[1]!ripe(N$17,[1]!juhe($T$8,6),$C24,0)</f>
        <v>11.816256795281518</v>
      </c>
      <c r="O24" s="124"/>
      <c r="Q24" s="141" t="s">
        <v>201</v>
      </c>
      <c r="R24">
        <v>24</v>
      </c>
      <c r="S24"/>
      <c r="T24"/>
      <c r="U24"/>
      <c r="V24"/>
      <c r="W24"/>
      <c r="X24"/>
      <c r="Y24"/>
      <c r="Z24"/>
      <c r="AC24" s="11"/>
    </row>
    <row r="25" spans="1:29" x14ac:dyDescent="0.2">
      <c r="A25" s="108"/>
      <c r="B25" s="113" t="str">
        <f t="shared" ca="1" si="4"/>
        <v>113Y-114Y</v>
      </c>
      <c r="C25" s="106">
        <f t="shared" ca="1" si="5"/>
        <v>444.94337909448757</v>
      </c>
      <c r="D25" s="10" t="s">
        <v>31</v>
      </c>
      <c r="E25" s="12">
        <f ca="1">[1]!ripe(E$17,[1]!juhe($T$8,6),$C25,0)</f>
        <v>10.399977575366076</v>
      </c>
      <c r="F25" s="12">
        <f ca="1">[1]!ripe(F$17,[1]!juhe($T$8,6),$C25,0)</f>
        <v>10.572026610328509</v>
      </c>
      <c r="G25" s="12">
        <f ca="1">[1]!ripe(G$17,[1]!juhe($T$8,6),$C25,0)</f>
        <v>10.742886654819483</v>
      </c>
      <c r="H25" s="12">
        <f ca="1">[1]!ripe(H$17,[1]!juhe($T$8,6),$C25,0)</f>
        <v>10.91253648664442</v>
      </c>
      <c r="I25" s="12">
        <f ca="1">[1]!ripe(I$17,[1]!juhe($T$8,6),$C25,0)</f>
        <v>11.080970827487583</v>
      </c>
      <c r="J25" s="12">
        <f ca="1">[1]!ripe(J$17,[1]!juhe($T$8,6),$C25,0)</f>
        <v>11.248166223543796</v>
      </c>
      <c r="K25" s="12">
        <f ca="1">[1]!ripe(K$17,[1]!juhe($T$8,6),$C25,0)</f>
        <v>11.414111091127477</v>
      </c>
      <c r="L25" s="12">
        <f ca="1">[1]!ripe(L$17,[1]!juhe($T$8,6),$C25,0)</f>
        <v>11.578793388226314</v>
      </c>
      <c r="M25" s="12">
        <f ca="1">[1]!ripe(M$17,[1]!juhe($T$8,6),$C25,0)</f>
        <v>11.742223363430957</v>
      </c>
      <c r="N25" s="12">
        <f ca="1">[1]!ripe(N$17,[1]!juhe($T$8,6),$C25,0)</f>
        <v>11.904396513106859</v>
      </c>
      <c r="O25" s="125"/>
      <c r="Q25" s="141" t="s">
        <v>201</v>
      </c>
      <c r="R25">
        <v>25</v>
      </c>
      <c r="S25"/>
      <c r="T25"/>
      <c r="U25"/>
      <c r="V25"/>
      <c r="W25"/>
      <c r="X25"/>
      <c r="Y25"/>
      <c r="Z25"/>
    </row>
    <row r="26" spans="1:29" x14ac:dyDescent="0.2">
      <c r="A26" s="108"/>
      <c r="B26" s="113" t="str">
        <f t="shared" ca="1" si="4"/>
        <v>114Y-115Y</v>
      </c>
      <c r="C26" s="106">
        <f t="shared" ca="1" si="5"/>
        <v>443.31750879030767</v>
      </c>
      <c r="D26" s="10" t="s">
        <v>31</v>
      </c>
      <c r="E26" s="12">
        <f ca="1">[1]!ripe(E$17,[1]!juhe($T$8,6),$C26,0)</f>
        <v>10.324111198517835</v>
      </c>
      <c r="F26" s="12">
        <f ca="1">[1]!ripe(F$17,[1]!juhe($T$8,6),$C26,0)</f>
        <v>10.494905159916094</v>
      </c>
      <c r="G26" s="12">
        <f ca="1">[1]!ripe(G$17,[1]!juhe($T$8,6),$C26,0)</f>
        <v>10.664518804361517</v>
      </c>
      <c r="H26" s="12">
        <f ca="1">[1]!ripe(H$17,[1]!juhe($T$8,6),$C26,0)</f>
        <v>10.832931064472456</v>
      </c>
      <c r="I26" s="12">
        <f ca="1">[1]!ripe(I$17,[1]!juhe($T$8,6),$C26,0)</f>
        <v>11.00013670043775</v>
      </c>
      <c r="J26" s="12">
        <f ca="1">[1]!ripe(J$17,[1]!juhe($T$8,6),$C26,0)</f>
        <v>11.166112429544437</v>
      </c>
      <c r="K26" s="12">
        <f ca="1">[1]!ripe(K$17,[1]!juhe($T$8,6),$C26,0)</f>
        <v>11.330846752608295</v>
      </c>
      <c r="L26" s="12">
        <f ca="1">[1]!ripe(L$17,[1]!juhe($T$8,6),$C26,0)</f>
        <v>11.494327715461804</v>
      </c>
      <c r="M26" s="12">
        <f ca="1">[1]!ripe(M$17,[1]!juhe($T$8,6),$C26,0)</f>
        <v>11.656565491933582</v>
      </c>
      <c r="N26" s="12">
        <f ca="1">[1]!ripe(N$17,[1]!juhe($T$8,6),$C26,0)</f>
        <v>11.817555611242463</v>
      </c>
      <c r="O26" s="125"/>
      <c r="Q26" s="141" t="s">
        <v>201</v>
      </c>
      <c r="R26">
        <v>26</v>
      </c>
      <c r="S26"/>
      <c r="T26"/>
      <c r="U26"/>
      <c r="V26"/>
      <c r="W26"/>
      <c r="X26"/>
      <c r="Y26"/>
      <c r="Z26"/>
    </row>
    <row r="27" spans="1:29" x14ac:dyDescent="0.2">
      <c r="A27" s="108"/>
      <c r="B27" s="113" t="str">
        <f t="shared" ca="1" si="4"/>
        <v>115Y-116Y</v>
      </c>
      <c r="C27" s="106">
        <f t="shared" ca="1" si="5"/>
        <v>443.02190566605429</v>
      </c>
      <c r="D27" s="10" t="s">
        <v>31</v>
      </c>
      <c r="E27" s="12">
        <f ca="1">[1]!ripe(E$17,[1]!juhe($T$8,6),$C27,0)</f>
        <v>10.310347600261327</v>
      </c>
      <c r="F27" s="12">
        <f ca="1">[1]!ripe(F$17,[1]!juhe($T$8,6),$C27,0)</f>
        <v>10.480913867534239</v>
      </c>
      <c r="G27" s="12">
        <f ca="1">[1]!ripe(G$17,[1]!juhe($T$8,6),$C27,0)</f>
        <v>10.650301391394938</v>
      </c>
      <c r="H27" s="12">
        <f ca="1">[1]!ripe(H$17,[1]!juhe($T$8,6),$C27,0)</f>
        <v>10.818489132547773</v>
      </c>
      <c r="I27" s="12">
        <f ca="1">[1]!ripe(I$17,[1]!juhe($T$8,6),$C27,0)</f>
        <v>10.985471858167044</v>
      </c>
      <c r="J27" s="12">
        <f ca="1">[1]!ripe(J$17,[1]!juhe($T$8,6),$C27,0)</f>
        <v>11.151226316579157</v>
      </c>
      <c r="K27" s="12">
        <f ca="1">[1]!ripe(K$17,[1]!juhe($T$8,6),$C27,0)</f>
        <v>11.315741023930039</v>
      </c>
      <c r="L27" s="12">
        <f ca="1">[1]!ripe(L$17,[1]!juhe($T$8,6),$C27,0)</f>
        <v>11.479004041988878</v>
      </c>
      <c r="M27" s="12">
        <f ca="1">[1]!ripe(M$17,[1]!juhe($T$8,6),$C27,0)</f>
        <v>11.641025531021047</v>
      </c>
      <c r="N27" s="12">
        <f ca="1">[1]!ripe(N$17,[1]!juhe($T$8,6),$C27,0)</f>
        <v>11.801801026205601</v>
      </c>
      <c r="O27" s="125"/>
      <c r="Q27" s="141" t="s">
        <v>201</v>
      </c>
      <c r="R27">
        <v>27</v>
      </c>
      <c r="S27"/>
      <c r="T27"/>
      <c r="U27"/>
      <c r="V27"/>
      <c r="W27"/>
      <c r="X27"/>
      <c r="Y27"/>
      <c r="Z27"/>
    </row>
    <row r="28" spans="1:29" x14ac:dyDescent="0.2">
      <c r="A28" s="108"/>
      <c r="B28" s="113" t="str">
        <f t="shared" ca="1" si="4"/>
        <v>116Y-117Y</v>
      </c>
      <c r="C28" s="106">
        <f t="shared" ca="1" si="5"/>
        <v>443.42023014286383</v>
      </c>
      <c r="D28" s="10" t="s">
        <v>31</v>
      </c>
      <c r="E28" s="12">
        <f ca="1">[1]!ripe(E$17,[1]!juhe($T$8,6),$C28,0)</f>
        <v>10.328896164193781</v>
      </c>
      <c r="F28" s="12">
        <f ca="1">[1]!ripe(F$17,[1]!juhe($T$8,6),$C28,0)</f>
        <v>10.499769284294153</v>
      </c>
      <c r="G28" s="12">
        <f ca="1">[1]!ripe(G$17,[1]!juhe($T$8,6),$C28,0)</f>
        <v>10.669461540394492</v>
      </c>
      <c r="H28" s="12">
        <f ca="1">[1]!ripe(H$17,[1]!juhe($T$8,6),$C28,0)</f>
        <v>10.837951855348948</v>
      </c>
      <c r="I28" s="12">
        <f ca="1">[1]!ripe(I$17,[1]!juhe($T$8,6),$C28,0)</f>
        <v>11.005234986917836</v>
      </c>
      <c r="J28" s="12">
        <f ca="1">[1]!ripe(J$17,[1]!juhe($T$8,6),$C28,0)</f>
        <v>11.171287641597248</v>
      </c>
      <c r="K28" s="12">
        <f ca="1">[1]!ripe(K$17,[1]!juhe($T$8,6),$C28,0)</f>
        <v>11.336098314873377</v>
      </c>
      <c r="L28" s="12">
        <f ca="1">[1]!ripe(L$17,[1]!juhe($T$8,6),$C28,0)</f>
        <v>11.499655047038246</v>
      </c>
      <c r="M28" s="12">
        <f ca="1">[1]!ripe(M$17,[1]!juhe($T$8,6),$C28,0)</f>
        <v>11.66196801663579</v>
      </c>
      <c r="N28" s="12">
        <f ca="1">[1]!ripe(N$17,[1]!juhe($T$8,6),$C28,0)</f>
        <v>11.823032750812745</v>
      </c>
      <c r="O28" s="125"/>
      <c r="Q28" s="141" t="s">
        <v>201</v>
      </c>
      <c r="R28">
        <v>28</v>
      </c>
      <c r="S28"/>
      <c r="T28"/>
      <c r="U28"/>
      <c r="V28"/>
      <c r="W28"/>
      <c r="X28"/>
      <c r="Y28"/>
      <c r="Z28"/>
    </row>
    <row r="29" spans="1:29" s="114" customFormat="1" hidden="1" x14ac:dyDescent="0.2">
      <c r="A29" s="187">
        <v>3</v>
      </c>
      <c r="B29" s="188" t="str">
        <f ca="1">R30</f>
        <v>117Y- 118Y</v>
      </c>
      <c r="C29" s="189">
        <f ca="1">S30</f>
        <v>440.31887592980098</v>
      </c>
      <c r="D29" s="118" t="s">
        <v>130</v>
      </c>
      <c r="E29" s="119">
        <f ca="1">[1]!Olekuvorrand($C29,$T30,$Y30,$X30,$W30,E$4,[1]!juhe($T30,6),TRUE)</f>
        <v>127.99721956253052</v>
      </c>
      <c r="F29" s="119">
        <f ca="1">[1]!Olekuvorrand($C29,$T30,$Y30,$X30,$W30,F$4,[1]!juhe($T30,6),TRUE)</f>
        <v>125.87529420852661</v>
      </c>
      <c r="G29" s="119">
        <f ca="1">[1]!Olekuvorrand($C29,$T30,$Y30,$X30,$W30,G$4,[1]!juhe($T30,6),TRUE)</f>
        <v>123.8362193107605</v>
      </c>
      <c r="H29" s="119">
        <f ca="1">[1]!Olekuvorrand($C29,$T30,$Y30,$X30,$W30,H$4,[1]!juhe($T30,6),TRUE)</f>
        <v>121.87570333480835</v>
      </c>
      <c r="I29" s="119">
        <f ca="1">[1]!Olekuvorrand($C29,$T30,$Y30,$X30,$W30,I$4,[1]!juhe($T30,6),TRUE)</f>
        <v>119.98969316482544</v>
      </c>
      <c r="J29" s="119">
        <f ca="1">[1]!Olekuvorrand($C29,$T30,$Y30,$X30,$W30,J$4,[1]!juhe($T30,6),TRUE)</f>
        <v>118.17437410354614</v>
      </c>
      <c r="K29" s="119">
        <f ca="1">[1]!Olekuvorrand($C29,$T30,$Y30,$X30,$W30,K$4,[1]!juhe($T30,6),TRUE)</f>
        <v>116.42605066299438</v>
      </c>
      <c r="L29" s="119">
        <f ca="1">[1]!Olekuvorrand($C29,$T30,$Y30,$X30,$W30,L$4,[1]!juhe($T30,6),TRUE)</f>
        <v>114.74126577377319</v>
      </c>
      <c r="M29" s="119">
        <f ca="1">[1]!Olekuvorrand($C29,$T30,$Y30,$X30,$W30,M$4,[1]!juhe($T30,6),TRUE)</f>
        <v>113.11691999435425</v>
      </c>
      <c r="N29" s="119">
        <f ca="1">[1]!Olekuvorrand($C29,$T30,$Y30,$X30,$W30,N$4,[1]!juhe($T30,6),TRUE)</f>
        <v>111.54991388320923</v>
      </c>
      <c r="O29" s="207">
        <f ca="1">U30</f>
        <v>118.17437410354614</v>
      </c>
      <c r="Q29" s="141" t="s">
        <v>216</v>
      </c>
      <c r="R29"/>
      <c r="S29"/>
      <c r="T29"/>
      <c r="U29"/>
      <c r="V29"/>
      <c r="W29"/>
      <c r="X29"/>
      <c r="Y29"/>
      <c r="Z29"/>
    </row>
    <row r="30" spans="1:29" s="114" customFormat="1" x14ac:dyDescent="0.2">
      <c r="A30" s="187"/>
      <c r="B30" s="188"/>
      <c r="C30" s="189"/>
      <c r="D30" s="118" t="s">
        <v>32</v>
      </c>
      <c r="E30" s="119">
        <f ca="1">E29*[1]!juhe($T30,2)/10</f>
        <v>858.86134326457977</v>
      </c>
      <c r="F30" s="119">
        <f ca="1">F29*[1]!juhe($T30,2)/10</f>
        <v>844.62322413921356</v>
      </c>
      <c r="G30" s="119">
        <f ca="1">G29*[1]!juhe($T30,2)/10</f>
        <v>830.94103157520294</v>
      </c>
      <c r="H30" s="119">
        <f ca="1">H29*[1]!juhe($T30,2)/10</f>
        <v>817.78596937656391</v>
      </c>
      <c r="I30" s="119">
        <f ca="1">I29*[1]!juhe($T30,2)/10</f>
        <v>805.13084113597859</v>
      </c>
      <c r="J30" s="119">
        <f ca="1">J29*[1]!juhe($T30,2)/10</f>
        <v>792.9500502347945</v>
      </c>
      <c r="K30" s="119">
        <f ca="1">K29*[1]!juhe($T30,2)/10</f>
        <v>781.21879994869221</v>
      </c>
      <c r="L30" s="119">
        <f ca="1">L29*[1]!juhe($T30,2)/10</f>
        <v>769.91389334201801</v>
      </c>
      <c r="M30" s="119">
        <f ca="1">M29*[1]!juhe($T30,2)/10</f>
        <v>759.01453316211689</v>
      </c>
      <c r="N30" s="119">
        <f ca="1">N29*[1]!juhe($T30,2)/10</f>
        <v>748.49992215633381</v>
      </c>
      <c r="O30" s="207"/>
      <c r="Q30" s="141" t="s">
        <v>202</v>
      </c>
      <c r="R30" s="129" t="str">
        <f t="shared" ref="R30:Y30" ca="1" si="6">INDIRECT("'"&amp;$S$1&amp;"'!"&amp;$Q30&amp;R$4)</f>
        <v>117Y- 118Y</v>
      </c>
      <c r="S30" s="129">
        <f t="shared" ca="1" si="6"/>
        <v>440.31887592980098</v>
      </c>
      <c r="T30" s="129" t="str">
        <f t="shared" ca="1" si="6"/>
        <v>9,9-S1A - 19</v>
      </c>
      <c r="U30" s="129">
        <f t="shared" ca="1" si="6"/>
        <v>118.17437410354614</v>
      </c>
      <c r="V30" s="129">
        <f t="shared" ca="1" si="6"/>
        <v>6</v>
      </c>
      <c r="W30" s="129">
        <f t="shared" ca="1" si="6"/>
        <v>0.27559160494055301</v>
      </c>
      <c r="X30" s="129">
        <f t="shared" ca="1" si="6"/>
        <v>-5</v>
      </c>
      <c r="Y30" s="129">
        <f t="shared" ca="1" si="6"/>
        <v>430.80240488052368</v>
      </c>
      <c r="Z30">
        <v>1</v>
      </c>
    </row>
    <row r="31" spans="1:29" s="114" customFormat="1" x14ac:dyDescent="0.2">
      <c r="A31" s="187"/>
      <c r="B31" s="188"/>
      <c r="C31" s="189"/>
      <c r="D31" s="118" t="s">
        <v>31</v>
      </c>
      <c r="E31" s="120">
        <f ca="1">[1]!ripe([1]!Olekuvorrand($C29,$T30,$Y30,$X30,$W30,E$4,[1]!juhe($T30,6),TRUE),[1]!juhe($T30,6),$C29,0)</f>
        <v>10.12972992128857</v>
      </c>
      <c r="F31" s="120">
        <f ca="1">[1]!ripe([1]!Olekuvorrand($C29,$T30,$Y30,$X30,$W30,F$4,[1]!juhe($T30,6),TRUE),[1]!juhe($T30,6),$C29,0)</f>
        <v>10.300490441725456</v>
      </c>
      <c r="G31" s="120">
        <f ca="1">[1]!ripe([1]!Olekuvorrand($C29,$T30,$Y30,$X30,$W30,G$4,[1]!juhe($T30,6),TRUE),[1]!juhe($T30,6),$C29,0)</f>
        <v>10.470097295126681</v>
      </c>
      <c r="H31" s="120">
        <f ca="1">[1]!ripe([1]!Olekuvorrand($C29,$T30,$Y30,$X30,$W30,H$4,[1]!juhe($T30,6),TRUE),[1]!juhe($T30,6),$C29,0)</f>
        <v>10.638521291503379</v>
      </c>
      <c r="I31" s="120">
        <f ca="1">[1]!ripe([1]!Olekuvorrand($C29,$T30,$Y30,$X30,$W30,I$4,[1]!juhe($T30,6),TRUE),[1]!juhe($T30,6),$C29,0)</f>
        <v>10.80573864842914</v>
      </c>
      <c r="J31" s="120">
        <f ca="1">[1]!ripe([1]!Olekuvorrand($C29,$T30,$Y30,$X30,$W30,J$4,[1]!juhe($T30,6),TRUE),[1]!juhe($T30,6),$C29,0)</f>
        <v>10.971729486023998</v>
      </c>
      <c r="K31" s="120">
        <f ca="1">[1]!ripe([1]!Olekuvorrand($C29,$T30,$Y30,$X30,$W30,K$4,[1]!juhe($T30,6),TRUE),[1]!juhe($T30,6),$C29,0)</f>
        <v>11.136487559793357</v>
      </c>
      <c r="L31" s="120">
        <f ca="1">[1]!ripe([1]!Olekuvorrand($C29,$T30,$Y30,$X30,$W30,L$4,[1]!juhe($T30,6),TRUE),[1]!juhe($T30,6),$C29,0)</f>
        <v>11.300008380600167</v>
      </c>
      <c r="M31" s="120">
        <f ca="1">[1]!ripe([1]!Olekuvorrand($C29,$T30,$Y30,$X30,$W30,M$4,[1]!juhe($T30,6),TRUE),[1]!juhe($T30,6),$C29,0)</f>
        <v>11.46227518313813</v>
      </c>
      <c r="N31" s="120">
        <f ca="1">[1]!ripe([1]!Olekuvorrand($C29,$T30,$Y30,$X30,$W30,N$4,[1]!juhe($T30,6),TRUE),[1]!juhe($T30,6),$C29,0)</f>
        <v>11.623292387314628</v>
      </c>
      <c r="O31" s="207"/>
      <c r="Q31" s="141" t="s">
        <v>202</v>
      </c>
      <c r="R31"/>
      <c r="S31"/>
      <c r="T31"/>
      <c r="U31"/>
      <c r="V31"/>
      <c r="W31"/>
      <c r="X31"/>
      <c r="Y31"/>
      <c r="Z31"/>
    </row>
    <row r="32" spans="1:29" s="114" customFormat="1" x14ac:dyDescent="0.2">
      <c r="A32" s="187"/>
      <c r="B32" s="188"/>
      <c r="C32" s="189"/>
      <c r="D32" s="118" t="s">
        <v>195</v>
      </c>
      <c r="E32" s="120">
        <f ca="1">[1]!ripe([1]!Olekuvorrand($C29,$T30,$Y30,$X30,$W30,E$4,[1]!juhe($T30,6)),[1]!juhe($T30,6),$C29,0)</f>
        <v>10.12972992128857</v>
      </c>
      <c r="F32" s="120">
        <f ca="1">[1]!ripe([1]!Olekuvorrand($C29,$T30,$Y30,$X30,$W30,F$4,[1]!juhe($T30,6)),[1]!juhe($T30,6),$C29,0)</f>
        <v>10.300490441725456</v>
      </c>
      <c r="G32" s="120">
        <f ca="1">[1]!ripe([1]!Olekuvorrand($C29,$T30,$Y30,$X30,$W30,G$4,[1]!juhe($T30,6)),[1]!juhe($T30,6),$C29,0)</f>
        <v>10.470097295126681</v>
      </c>
      <c r="H32" s="120">
        <f ca="1">[1]!ripe([1]!Olekuvorrand($C29,$T30,$Y30,$X30,$W30,H$4,[1]!juhe($T30,6)),[1]!juhe($T30,6),$C29,0)</f>
        <v>10.638521291503379</v>
      </c>
      <c r="I32" s="120">
        <f ca="1">[1]!ripe([1]!Olekuvorrand($C29,$T30,$Y30,$X30,$W30,I$4,[1]!juhe($T30,6)),[1]!juhe($T30,6),$C29,0)</f>
        <v>10.80573864842914</v>
      </c>
      <c r="J32" s="120">
        <f ca="1">[1]!ripe([1]!Olekuvorrand($C29,$T30,$Y30,$X30,$W30,J$4,[1]!juhe($T30,6)),[1]!juhe($T30,6),$C29,0)</f>
        <v>10.971729486023998</v>
      </c>
      <c r="K32" s="120">
        <f ca="1">[1]!ripe([1]!Olekuvorrand($C29,$T30,$Y30,$X30,$W30,K$4,[1]!juhe($T30,6)),[1]!juhe($T30,6),$C29,0)</f>
        <v>11.136487559793357</v>
      </c>
      <c r="L32" s="120">
        <f ca="1">[1]!ripe([1]!Olekuvorrand($C29,$T30,$Y30,$X30,$W30,L$4,[1]!juhe($T30,6)),[1]!juhe($T30,6),$C29,0)</f>
        <v>11.300008380600167</v>
      </c>
      <c r="M32" s="120">
        <f ca="1">[1]!ripe([1]!Olekuvorrand($C29,$T30,$Y30,$X30,$W30,M$4,[1]!juhe($T30,6)),[1]!juhe($T30,6),$C29,0)</f>
        <v>11.46227518313813</v>
      </c>
      <c r="N32" s="120">
        <f ca="1">[1]!ripe([1]!Olekuvorrand($C29,$T30,$Y30,$X30,$W30,N$4,[1]!juhe($T30,6)),[1]!juhe($T30,6),$C29,0)</f>
        <v>11.623292387314628</v>
      </c>
      <c r="O32" s="207"/>
      <c r="Q32" s="141" t="s">
        <v>202</v>
      </c>
      <c r="R32"/>
      <c r="S32"/>
      <c r="T32"/>
      <c r="U32"/>
      <c r="V32"/>
      <c r="W32"/>
      <c r="X32"/>
      <c r="Y32"/>
      <c r="Z32"/>
      <c r="AC32" s="121"/>
    </row>
    <row r="33" spans="1:29" x14ac:dyDescent="0.2">
      <c r="A33" s="105"/>
      <c r="B33" s="113" t="str">
        <f ca="1">INDIRECT("Visangud!C" &amp; R33)</f>
        <v>117Y-118Y</v>
      </c>
      <c r="C33" s="106">
        <f ca="1">INDIRECT("Visangud!"&amp;Q33&amp;R33)</f>
        <v>440.31887592980098</v>
      </c>
      <c r="D33" s="10" t="s">
        <v>31</v>
      </c>
      <c r="E33" s="12">
        <f ca="1">[1]!ripe(E$29,[1]!juhe($T$8,6),$C33,0)</f>
        <v>10.12972992128857</v>
      </c>
      <c r="F33" s="12">
        <f ca="1">[1]!ripe(F$29,[1]!juhe($T$8,6),$C33,0)</f>
        <v>10.300490441725456</v>
      </c>
      <c r="G33" s="12">
        <f ca="1">[1]!ripe(G$29,[1]!juhe($T$8,6),$C33,0)</f>
        <v>10.470097295126681</v>
      </c>
      <c r="H33" s="12">
        <f ca="1">[1]!ripe(H$29,[1]!juhe($T$8,6),$C33,0)</f>
        <v>10.638521291503379</v>
      </c>
      <c r="I33" s="12">
        <f ca="1">[1]!ripe(I$29,[1]!juhe($T$8,6),$C33,0)</f>
        <v>10.80573864842914</v>
      </c>
      <c r="J33" s="12">
        <f ca="1">[1]!ripe(J$29,[1]!juhe($T$8,6),$C33,0)</f>
        <v>10.971729486023998</v>
      </c>
      <c r="K33" s="12">
        <f ca="1">[1]!ripe(K$29,[1]!juhe($T$8,6),$C33,0)</f>
        <v>11.136487559793357</v>
      </c>
      <c r="L33" s="12">
        <f ca="1">[1]!ripe(L$29,[1]!juhe($T$8,6),$C33,0)</f>
        <v>11.300008380600167</v>
      </c>
      <c r="M33" s="12">
        <f ca="1">[1]!ripe(M$29,[1]!juhe($T$8,6),$C33,0)</f>
        <v>11.46227518313813</v>
      </c>
      <c r="N33" s="12">
        <f ca="1">[1]!ripe(N$29,[1]!juhe($T$8,6),$C33,0)</f>
        <v>11.623292387314628</v>
      </c>
      <c r="O33" s="124"/>
      <c r="Q33" s="141" t="s">
        <v>202</v>
      </c>
      <c r="R33">
        <v>29</v>
      </c>
      <c r="S33"/>
      <c r="T33"/>
      <c r="U33"/>
      <c r="V33"/>
      <c r="W33"/>
      <c r="X33"/>
      <c r="Y33"/>
      <c r="Z33"/>
      <c r="AC33" s="11"/>
    </row>
    <row r="34" spans="1:29" s="114" customFormat="1" hidden="1" x14ac:dyDescent="0.2">
      <c r="A34" s="187">
        <v>4</v>
      </c>
      <c r="B34" s="188" t="str">
        <f ca="1">R35</f>
        <v>118Y- 121Y</v>
      </c>
      <c r="C34" s="189">
        <f ca="1">S35</f>
        <v>352.77649774332502</v>
      </c>
      <c r="D34" s="118" t="s">
        <v>130</v>
      </c>
      <c r="E34" s="119">
        <f ca="1">[1]!Olekuvorrand($C34,$T35,$Y35,$X35,$W35,E$4,[1]!juhe($T35,6),TRUE)</f>
        <v>142.93164014816284</v>
      </c>
      <c r="F34" s="119">
        <f ca="1">[1]!Olekuvorrand($C34,$T35,$Y35,$X35,$W35,F$4,[1]!juhe($T35,6),TRUE)</f>
        <v>139.23627138137817</v>
      </c>
      <c r="G34" s="119">
        <f ca="1">[1]!Olekuvorrand($C34,$T35,$Y35,$X35,$W35,G$4,[1]!juhe($T35,6),TRUE)</f>
        <v>135.72543859481812</v>
      </c>
      <c r="H34" s="119">
        <f ca="1">[1]!Olekuvorrand($C34,$T35,$Y35,$X35,$W35,H$4,[1]!juhe($T35,6),TRUE)</f>
        <v>132.38972425460815</v>
      </c>
      <c r="I34" s="119">
        <f ca="1">[1]!Olekuvorrand($C34,$T35,$Y35,$X35,$W35,I$4,[1]!juhe($T35,6),TRUE)</f>
        <v>129.22006845474243</v>
      </c>
      <c r="J34" s="119">
        <f ca="1">[1]!Olekuvorrand($C34,$T35,$Y35,$X35,$W35,J$4,[1]!juhe($T35,6),TRUE)</f>
        <v>126.20753049850464</v>
      </c>
      <c r="K34" s="119">
        <f ca="1">[1]!Olekuvorrand($C34,$T35,$Y35,$X35,$W35,K$4,[1]!juhe($T35,6),TRUE)</f>
        <v>123.34316968917847</v>
      </c>
      <c r="L34" s="119">
        <f ca="1">[1]!Olekuvorrand($C34,$T35,$Y35,$X35,$W35,L$4,[1]!juhe($T35,6),TRUE)</f>
        <v>120.61852216720581</v>
      </c>
      <c r="M34" s="119">
        <f ca="1">[1]!Olekuvorrand($C34,$T35,$Y35,$X35,$W35,M$4,[1]!juhe($T35,6),TRUE)</f>
        <v>118.02560091018677</v>
      </c>
      <c r="N34" s="119">
        <f ca="1">[1]!Olekuvorrand($C34,$T35,$Y35,$X35,$W35,N$4,[1]!juhe($T35,6),TRUE)</f>
        <v>115.55653810501099</v>
      </c>
      <c r="O34" s="207">
        <f ca="1">U35</f>
        <v>126.20753049850464</v>
      </c>
      <c r="Q34" s="141" t="s">
        <v>201</v>
      </c>
      <c r="R34"/>
      <c r="S34"/>
      <c r="T34"/>
      <c r="U34"/>
      <c r="V34"/>
      <c r="W34"/>
      <c r="X34"/>
      <c r="Y34"/>
      <c r="Z34"/>
    </row>
    <row r="35" spans="1:29" s="114" customFormat="1" x14ac:dyDescent="0.2">
      <c r="A35" s="187"/>
      <c r="B35" s="188"/>
      <c r="C35" s="189"/>
      <c r="D35" s="118" t="s">
        <v>32</v>
      </c>
      <c r="E35" s="119">
        <f ca="1">E34*[1]!juhe($T35,2)/10</f>
        <v>959.07130539417267</v>
      </c>
      <c r="F35" s="119">
        <f ca="1">F34*[1]!juhe($T35,2)/10</f>
        <v>934.27538096904755</v>
      </c>
      <c r="G35" s="119">
        <f ca="1">G34*[1]!juhe($T35,2)/10</f>
        <v>910.71769297122955</v>
      </c>
      <c r="H35" s="119">
        <f ca="1">H34*[1]!juhe($T35,2)/10</f>
        <v>888.33504974842072</v>
      </c>
      <c r="I35" s="119">
        <f ca="1">I34*[1]!juhe($T35,2)/10</f>
        <v>867.06665933132172</v>
      </c>
      <c r="J35" s="119">
        <f ca="1">J34*[1]!juhe($T35,2)/10</f>
        <v>846.85252964496613</v>
      </c>
      <c r="K35" s="119">
        <f ca="1">K34*[1]!juhe($T35,2)/10</f>
        <v>827.63266861438751</v>
      </c>
      <c r="L35" s="119">
        <f ca="1">L34*[1]!juhe($T35,2)/10</f>
        <v>809.35028374195088</v>
      </c>
      <c r="M35" s="119">
        <f ca="1">M34*[1]!juhe($T35,2)/10</f>
        <v>791.9517821073531</v>
      </c>
      <c r="N35" s="119">
        <f ca="1">N34*[1]!juhe($T35,2)/10</f>
        <v>775.3843706846236</v>
      </c>
      <c r="O35" s="207"/>
      <c r="Q35" s="141" t="s">
        <v>203</v>
      </c>
      <c r="R35" s="129" t="str">
        <f t="shared" ref="R35:Y35" ca="1" si="7">INDIRECT("'"&amp;$S$1&amp;"'!"&amp;$Q35&amp;R$4)</f>
        <v>118Y- 121Y</v>
      </c>
      <c r="S35" s="129">
        <f t="shared" ca="1" si="7"/>
        <v>352.77649774332502</v>
      </c>
      <c r="T35" s="129" t="str">
        <f t="shared" ca="1" si="7"/>
        <v>9,9-S1A - 19</v>
      </c>
      <c r="U35" s="129">
        <f t="shared" ca="1" si="7"/>
        <v>126.20753049850464</v>
      </c>
      <c r="V35" s="129">
        <f t="shared" ca="1" si="7"/>
        <v>6</v>
      </c>
      <c r="W35" s="129">
        <f t="shared" ca="1" si="7"/>
        <v>0.28123525820129347</v>
      </c>
      <c r="X35" s="129">
        <f t="shared" ca="1" si="7"/>
        <v>-5</v>
      </c>
      <c r="Y35" s="129">
        <f t="shared" ca="1" si="7"/>
        <v>411.20189428329468</v>
      </c>
      <c r="Z35">
        <v>1</v>
      </c>
    </row>
    <row r="36" spans="1:29" s="114" customFormat="1" hidden="1" x14ac:dyDescent="0.2">
      <c r="A36" s="187"/>
      <c r="B36" s="188"/>
      <c r="C36" s="189"/>
      <c r="D36" s="118" t="str">
        <f>CONCATENATE(Z35,"T, [daN]")</f>
        <v>1T, [daN]</v>
      </c>
      <c r="E36" s="119">
        <f ca="1">E35*$Z35</f>
        <v>959.07130539417267</v>
      </c>
      <c r="F36" s="119">
        <f t="shared" ref="F36:N36" ca="1" si="8">F34*$Z35</f>
        <v>139.23627138137817</v>
      </c>
      <c r="G36" s="119">
        <f t="shared" ca="1" si="8"/>
        <v>135.72543859481812</v>
      </c>
      <c r="H36" s="119">
        <f t="shared" ca="1" si="8"/>
        <v>132.38972425460815</v>
      </c>
      <c r="I36" s="119">
        <f t="shared" ca="1" si="8"/>
        <v>129.22006845474243</v>
      </c>
      <c r="J36" s="119">
        <f t="shared" ca="1" si="8"/>
        <v>126.20753049850464</v>
      </c>
      <c r="K36" s="119">
        <f t="shared" ca="1" si="8"/>
        <v>123.34316968917847</v>
      </c>
      <c r="L36" s="119">
        <f t="shared" ca="1" si="8"/>
        <v>120.61852216720581</v>
      </c>
      <c r="M36" s="119">
        <f t="shared" ca="1" si="8"/>
        <v>118.02560091018677</v>
      </c>
      <c r="N36" s="119">
        <f t="shared" ca="1" si="8"/>
        <v>115.55653810501099</v>
      </c>
      <c r="O36" s="207"/>
      <c r="Q36" s="141" t="s">
        <v>207</v>
      </c>
      <c r="R36"/>
      <c r="S36"/>
      <c r="T36"/>
      <c r="U36"/>
      <c r="V36"/>
      <c r="W36"/>
      <c r="X36"/>
      <c r="Y36"/>
      <c r="Z36"/>
    </row>
    <row r="37" spans="1:29" s="114" customFormat="1" x14ac:dyDescent="0.2">
      <c r="A37" s="187"/>
      <c r="B37" s="188"/>
      <c r="C37" s="189"/>
      <c r="D37" s="118" t="s">
        <v>31</v>
      </c>
      <c r="E37" s="120">
        <f ca="1">[1]!ripe([1]!Olekuvorrand($C34,$T35,$Y35,$X35,$W35,E$4,[1]!juhe($T35,6),TRUE),[1]!juhe($T35,6),$C34,0)</f>
        <v>5.8228379855753474</v>
      </c>
      <c r="F37" s="120">
        <f ca="1">[1]!ripe([1]!Olekuvorrand($C34,$T35,$Y35,$X35,$W35,F$4,[1]!juhe($T35,6),TRUE),[1]!juhe($T35,6),$C34,0)</f>
        <v>5.9773777000654347</v>
      </c>
      <c r="G37" s="120">
        <f ca="1">[1]!ripe([1]!Olekuvorrand($C34,$T35,$Y35,$X35,$W35,G$4,[1]!juhe($T35,6),TRUE),[1]!juhe($T35,6),$C34,0)</f>
        <v>6.1319955360754621</v>
      </c>
      <c r="H37" s="120">
        <f ca="1">[1]!ripe([1]!Olekuvorrand($C34,$T35,$Y35,$X35,$W35,H$4,[1]!juhe($T35,6),TRUE),[1]!juhe($T35,6),$C34,0)</f>
        <v>6.2864983538655554</v>
      </c>
      <c r="I37" s="120">
        <f ca="1">[1]!ripe([1]!Olekuvorrand($C34,$T35,$Y35,$X35,$W35,I$4,[1]!juhe($T35,6),TRUE),[1]!juhe($T35,6),$C34,0)</f>
        <v>6.4407006864169816</v>
      </c>
      <c r="J37" s="120">
        <f ca="1">[1]!ripe([1]!Olekuvorrand($C34,$T35,$Y35,$X35,$W35,J$4,[1]!juhe($T35,6),TRUE),[1]!juhe($T35,6),$C34,0)</f>
        <v>6.5944383849993011</v>
      </c>
      <c r="K37" s="120">
        <f ca="1">[1]!ripe([1]!Olekuvorrand($C34,$T35,$Y35,$X35,$W35,K$4,[1]!juhe($T35,6),TRUE),[1]!juhe($T35,6),$C34,0)</f>
        <v>6.7475790162730682</v>
      </c>
      <c r="L37" s="120">
        <f ca="1">[1]!ripe([1]!Olekuvorrand($C34,$T35,$Y35,$X35,$W35,L$4,[1]!juhe($T35,6),TRUE),[1]!juhe($T35,6),$C34,0)</f>
        <v>6.899999839507144</v>
      </c>
      <c r="M37" s="120">
        <f ca="1">[1]!ripe([1]!Olekuvorrand($C34,$T35,$Y35,$X35,$W35,M$4,[1]!juhe($T35,6),TRUE),[1]!juhe($T35,6),$C34,0)</f>
        <v>7.0515869199313359</v>
      </c>
      <c r="N37" s="120">
        <f ca="1">[1]!ripe([1]!Olekuvorrand($C34,$T35,$Y35,$X35,$W35,N$4,[1]!juhe($T35,6),TRUE),[1]!juhe($T35,6),$C34,0)</f>
        <v>7.2022561184637857</v>
      </c>
      <c r="O37" s="207"/>
      <c r="Q37" s="141" t="s">
        <v>203</v>
      </c>
      <c r="R37"/>
      <c r="S37"/>
      <c r="T37"/>
      <c r="U37"/>
      <c r="V37"/>
      <c r="W37"/>
      <c r="X37"/>
      <c r="Y37"/>
      <c r="Z37"/>
    </row>
    <row r="38" spans="1:29" s="114" customFormat="1" x14ac:dyDescent="0.2">
      <c r="A38" s="187"/>
      <c r="B38" s="188"/>
      <c r="C38" s="189"/>
      <c r="D38" s="118" t="s">
        <v>195</v>
      </c>
      <c r="E38" s="120">
        <f ca="1">[1]!ripe([1]!Olekuvorrand($C34,$T35,$Y35,$X35,$W35,E$4,[1]!juhe($T35,6)),[1]!juhe($T35,6),$C34,0)</f>
        <v>5.8228379855753474</v>
      </c>
      <c r="F38" s="120">
        <f ca="1">[1]!ripe([1]!Olekuvorrand($C34,$T35,$Y35,$X35,$W35,F$4,[1]!juhe($T35,6)),[1]!juhe($T35,6),$C34,0)</f>
        <v>5.9773777000654347</v>
      </c>
      <c r="G38" s="120">
        <f ca="1">[1]!ripe([1]!Olekuvorrand($C34,$T35,$Y35,$X35,$W35,G$4,[1]!juhe($T35,6)),[1]!juhe($T35,6),$C34,0)</f>
        <v>6.1319955360754621</v>
      </c>
      <c r="H38" s="120">
        <f ca="1">[1]!ripe([1]!Olekuvorrand($C34,$T35,$Y35,$X35,$W35,H$4,[1]!juhe($T35,6)),[1]!juhe($T35,6),$C34,0)</f>
        <v>6.2864983538655554</v>
      </c>
      <c r="I38" s="120">
        <f ca="1">[1]!ripe([1]!Olekuvorrand($C34,$T35,$Y35,$X35,$W35,I$4,[1]!juhe($T35,6)),[1]!juhe($T35,6),$C34,0)</f>
        <v>6.4407006864169816</v>
      </c>
      <c r="J38" s="120">
        <f ca="1">[1]!ripe([1]!Olekuvorrand($C34,$T35,$Y35,$X35,$W35,J$4,[1]!juhe($T35,6)),[1]!juhe($T35,6),$C34,0)</f>
        <v>6.5944383849993011</v>
      </c>
      <c r="K38" s="120">
        <f ca="1">[1]!ripe([1]!Olekuvorrand($C34,$T35,$Y35,$X35,$W35,K$4,[1]!juhe($T35,6)),[1]!juhe($T35,6),$C34,0)</f>
        <v>6.7475790162730682</v>
      </c>
      <c r="L38" s="120">
        <f ca="1">[1]!ripe([1]!Olekuvorrand($C34,$T35,$Y35,$X35,$W35,L$4,[1]!juhe($T35,6)),[1]!juhe($T35,6),$C34,0)</f>
        <v>6.899999839507144</v>
      </c>
      <c r="M38" s="120">
        <f ca="1">[1]!ripe([1]!Olekuvorrand($C34,$T35,$Y35,$X35,$W35,M$4,[1]!juhe($T35,6)),[1]!juhe($T35,6),$C34,0)</f>
        <v>7.0515869199313359</v>
      </c>
      <c r="N38" s="120">
        <f ca="1">[1]!ripe([1]!Olekuvorrand($C34,$T35,$Y35,$X35,$W35,N$4,[1]!juhe($T35,6)),[1]!juhe($T35,6),$C34,0)</f>
        <v>7.2022561184637857</v>
      </c>
      <c r="O38" s="207"/>
      <c r="Q38" s="141" t="s">
        <v>203</v>
      </c>
      <c r="R38"/>
      <c r="S38"/>
      <c r="T38"/>
      <c r="U38"/>
      <c r="V38"/>
      <c r="W38"/>
      <c r="X38"/>
      <c r="Y38"/>
      <c r="Z38"/>
      <c r="AC38" s="121"/>
    </row>
    <row r="39" spans="1:29" x14ac:dyDescent="0.2">
      <c r="A39" s="105"/>
      <c r="B39" s="113" t="str">
        <f ca="1">INDIRECT("Visangud!C" &amp; R39)</f>
        <v>118Y-119Y</v>
      </c>
      <c r="C39" s="106">
        <f ca="1">INDIRECT("Visangud!"&amp;Q39&amp;R39)</f>
        <v>350.00766405881359</v>
      </c>
      <c r="D39" s="10" t="s">
        <v>31</v>
      </c>
      <c r="E39" s="12">
        <f ca="1">[1]!ripe(E$34,[1]!juhe($T$8,6),$C39,0)</f>
        <v>5.7317933728241783</v>
      </c>
      <c r="F39" s="12">
        <f ca="1">[1]!ripe(F$34,[1]!juhe($T$8,6),$C39,0)</f>
        <v>5.8839167383628981</v>
      </c>
      <c r="G39" s="12">
        <f ca="1">[1]!ripe(G$34,[1]!juhe($T$8,6),$C39,0)</f>
        <v>6.0361170039306726</v>
      </c>
      <c r="H39" s="12">
        <f ca="1">[1]!ripe(H$34,[1]!juhe($T$8,6),$C39,0)</f>
        <v>6.1882040496780766</v>
      </c>
      <c r="I39" s="12">
        <f ca="1">[1]!ripe(I$34,[1]!juhe($T$8,6),$C39,0)</f>
        <v>6.3399953085078486</v>
      </c>
      <c r="J39" s="12">
        <f ca="1">[1]!ripe(J$34,[1]!juhe($T$8,6),$C39,0)</f>
        <v>6.4913291982829575</v>
      </c>
      <c r="K39" s="12">
        <f ca="1">[1]!ripe(K$34,[1]!juhe($T$8,6),$C39,0)</f>
        <v>6.642075356362497</v>
      </c>
      <c r="L39" s="12">
        <f ca="1">[1]!ripe(L$34,[1]!juhe($T$8,6),$C39,0)</f>
        <v>6.7921129611623767</v>
      </c>
      <c r="M39" s="12">
        <f ca="1">[1]!ripe(M$34,[1]!juhe($T$8,6),$C39,0)</f>
        <v>6.9413298593713861</v>
      </c>
      <c r="N39" s="12">
        <f ca="1">[1]!ripe(N$34,[1]!juhe($T$8,6),$C39,0)</f>
        <v>7.0896432274878256</v>
      </c>
      <c r="O39" s="124"/>
      <c r="Q39" s="141" t="s">
        <v>203</v>
      </c>
      <c r="R39">
        <v>30</v>
      </c>
      <c r="S39"/>
      <c r="T39"/>
      <c r="U39"/>
      <c r="V39"/>
      <c r="W39"/>
      <c r="X39"/>
      <c r="Y39"/>
      <c r="Z39"/>
      <c r="AC39" s="11"/>
    </row>
    <row r="40" spans="1:29" x14ac:dyDescent="0.2">
      <c r="A40" s="108"/>
      <c r="B40" s="113" t="str">
        <f t="shared" ref="B40:B41" ca="1" si="9">INDIRECT("Visangud!C" &amp; R40)</f>
        <v>119Y-120Y</v>
      </c>
      <c r="C40" s="106">
        <f t="shared" ref="C40:C41" ca="1" si="10">INDIRECT("Visangud!"&amp;Q40&amp;R40)</f>
        <v>354.20859631022307</v>
      </c>
      <c r="D40" s="10" t="s">
        <v>31</v>
      </c>
      <c r="E40" s="12">
        <f ca="1">[1]!ripe(E$34,[1]!juhe($T$8,6),$C40,0)</f>
        <v>5.870209643570834</v>
      </c>
      <c r="F40" s="12">
        <f ca="1">[1]!ripe(F$34,[1]!juhe($T$8,6),$C40,0)</f>
        <v>6.0260066148349685</v>
      </c>
      <c r="G40" s="12">
        <f ca="1">[1]!ripe(G$34,[1]!juhe($T$8,6),$C40,0)</f>
        <v>6.1818823431761265</v>
      </c>
      <c r="H40" s="12">
        <f ca="1">[1]!ripe(H$34,[1]!juhe($T$8,6),$C40,0)</f>
        <v>6.3376421175674205</v>
      </c>
      <c r="I40" s="12">
        <f ca="1">[1]!ripe(I$34,[1]!juhe($T$8,6),$C40,0)</f>
        <v>6.493098962124475</v>
      </c>
      <c r="J40" s="12">
        <f ca="1">[1]!ripe(J$34,[1]!juhe($T$8,6),$C40,0)</f>
        <v>6.6480873926859934</v>
      </c>
      <c r="K40" s="12">
        <f ca="1">[1]!ripe(K$34,[1]!juhe($T$8,6),$C40,0)</f>
        <v>6.8024738985020177</v>
      </c>
      <c r="L40" s="12">
        <f ca="1">[1]!ripe(L$34,[1]!juhe($T$8,6),$C40,0)</f>
        <v>6.9561347402850418</v>
      </c>
      <c r="M40" s="12">
        <f ca="1">[1]!ripe(M$34,[1]!juhe($T$8,6),$C40,0)</f>
        <v>7.108955056349342</v>
      </c>
      <c r="N40" s="12">
        <f ca="1">[1]!ripe(N$34,[1]!juhe($T$8,6),$C40,0)</f>
        <v>7.2608500231001445</v>
      </c>
      <c r="O40" s="125"/>
      <c r="Q40" s="141" t="s">
        <v>203</v>
      </c>
      <c r="R40">
        <v>31</v>
      </c>
      <c r="S40"/>
      <c r="T40"/>
      <c r="U40"/>
      <c r="V40"/>
      <c r="W40"/>
      <c r="X40"/>
      <c r="Y40"/>
      <c r="Z40"/>
    </row>
    <row r="41" spans="1:29" x14ac:dyDescent="0.2">
      <c r="A41" s="108"/>
      <c r="B41" s="113" t="str">
        <f t="shared" ca="1" si="9"/>
        <v>120Y-121Y</v>
      </c>
      <c r="C41" s="106">
        <f t="shared" ca="1" si="10"/>
        <v>354.06492130690555</v>
      </c>
      <c r="D41" s="10" t="s">
        <v>31</v>
      </c>
      <c r="E41" s="12">
        <f ca="1">[1]!ripe(E$34,[1]!juhe($T$8,6),$C41,0)</f>
        <v>5.8654484302785903</v>
      </c>
      <c r="F41" s="12">
        <f ca="1">[1]!ripe(F$34,[1]!juhe($T$8,6),$C41,0)</f>
        <v>6.0211190376382797</v>
      </c>
      <c r="G41" s="12">
        <f ca="1">[1]!ripe(G$34,[1]!juhe($T$8,6),$C41,0)</f>
        <v>6.1768683381966536</v>
      </c>
      <c r="H41" s="12">
        <f ca="1">[1]!ripe(H$34,[1]!juhe($T$8,6),$C41,0)</f>
        <v>6.3325017788531648</v>
      </c>
      <c r="I41" s="12">
        <f ca="1">[1]!ripe(I$34,[1]!juhe($T$8,6),$C41,0)</f>
        <v>6.4878325353759552</v>
      </c>
      <c r="J41" s="12">
        <f ca="1">[1]!ripe(J$34,[1]!juhe($T$8,6),$C41,0)</f>
        <v>6.6426952578247249</v>
      </c>
      <c r="K41" s="12">
        <f ca="1">[1]!ripe(K$34,[1]!juhe($T$8,6),$C41,0)</f>
        <v>6.7969565437374975</v>
      </c>
      <c r="L41" s="12">
        <f ca="1">[1]!ripe(L$34,[1]!juhe($T$8,6),$C41,0)</f>
        <v>6.9504927541893053</v>
      </c>
      <c r="M41" s="12">
        <f ca="1">[1]!ripe(M$34,[1]!juhe($T$8,6),$C41,0)</f>
        <v>7.1031891206565128</v>
      </c>
      <c r="N41" s="12">
        <f ca="1">[1]!ripe(N$34,[1]!juhe($T$8,6),$C41,0)</f>
        <v>7.2549608883431196</v>
      </c>
      <c r="O41" s="125"/>
      <c r="Q41" s="141" t="s">
        <v>203</v>
      </c>
      <c r="R41">
        <v>32</v>
      </c>
      <c r="S41"/>
      <c r="T41"/>
      <c r="U41"/>
      <c r="V41"/>
      <c r="W41"/>
      <c r="X41"/>
      <c r="Y41"/>
      <c r="Z41"/>
    </row>
    <row r="42" spans="1:29" s="114" customFormat="1" hidden="1" x14ac:dyDescent="0.2">
      <c r="A42" s="187">
        <v>5</v>
      </c>
      <c r="B42" s="188" t="str">
        <f ca="1">R43</f>
        <v>121Y- 126Y</v>
      </c>
      <c r="C42" s="189">
        <f ca="1">S43</f>
        <v>429.81699666990465</v>
      </c>
      <c r="D42" s="118" t="s">
        <v>130</v>
      </c>
      <c r="E42" s="119">
        <f ca="1">[1]!Olekuvorrand($C42,$T43,$Y43,$X43,$W43,E$4,[1]!juhe($T43,6),TRUE)</f>
        <v>129.56541776657104</v>
      </c>
      <c r="F42" s="119">
        <f ca="1">[1]!Olekuvorrand($C42,$T43,$Y43,$X43,$W43,F$4,[1]!juhe($T43,6),TRUE)</f>
        <v>127.29841470718384</v>
      </c>
      <c r="G42" s="119">
        <f ca="1">[1]!Olekuvorrand($C42,$T43,$Y43,$X43,$W43,G$4,[1]!juhe($T43,6),TRUE)</f>
        <v>125.12320280075073</v>
      </c>
      <c r="H42" s="119">
        <f ca="1">[1]!Olekuvorrand($C42,$T43,$Y43,$X43,$W43,H$4,[1]!juhe($T43,6),TRUE)</f>
        <v>123.0350136756897</v>
      </c>
      <c r="I42" s="119">
        <f ca="1">[1]!Olekuvorrand($C42,$T43,$Y43,$X43,$W43,I$4,[1]!juhe($T43,6),TRUE)</f>
        <v>121.0293173789978</v>
      </c>
      <c r="J42" s="119">
        <f ca="1">[1]!Olekuvorrand($C42,$T43,$Y43,$X43,$W43,J$4,[1]!juhe($T43,6),TRUE)</f>
        <v>119.10158395767212</v>
      </c>
      <c r="K42" s="119">
        <f ca="1">[1]!Olekuvorrand($C42,$T43,$Y43,$X43,$W43,K$4,[1]!juhe($T43,6),TRUE)</f>
        <v>117.24776029586792</v>
      </c>
      <c r="L42" s="119">
        <f ca="1">[1]!Olekuvorrand($C42,$T43,$Y43,$X43,$W43,L$4,[1]!juhe($T43,6),TRUE)</f>
        <v>115.46403169631958</v>
      </c>
      <c r="M42" s="119">
        <f ca="1">[1]!Olekuvorrand($C42,$T43,$Y43,$X43,$W43,M$4,[1]!juhe($T43,6),TRUE)</f>
        <v>113.74682188034058</v>
      </c>
      <c r="N42" s="119">
        <f ca="1">[1]!Olekuvorrand($C42,$T43,$Y43,$X43,$W43,N$4,[1]!juhe($T43,6),TRUE)</f>
        <v>112.09255456924438</v>
      </c>
      <c r="O42" s="207">
        <f ca="1">U43</f>
        <v>119.10158395767212</v>
      </c>
      <c r="Q42" s="141" t="s">
        <v>207</v>
      </c>
      <c r="R42"/>
      <c r="S42"/>
      <c r="T42"/>
      <c r="U42"/>
      <c r="V42"/>
      <c r="W42"/>
      <c r="X42"/>
      <c r="Y42"/>
      <c r="Z42"/>
    </row>
    <row r="43" spans="1:29" s="114" customFormat="1" x14ac:dyDescent="0.2">
      <c r="A43" s="187"/>
      <c r="B43" s="188"/>
      <c r="C43" s="189"/>
      <c r="D43" s="118" t="s">
        <v>32</v>
      </c>
      <c r="E43" s="119">
        <f ca="1">E42*[1]!juhe($T43,2)/10</f>
        <v>869.38395321369171</v>
      </c>
      <c r="F43" s="119">
        <f ca="1">F42*[1]!juhe($T43,2)/10</f>
        <v>854.17236268520355</v>
      </c>
      <c r="G43" s="119">
        <f ca="1">G42*[1]!juhe($T43,2)/10</f>
        <v>839.57669079303741</v>
      </c>
      <c r="H43" s="119">
        <f ca="1">H42*[1]!juhe($T43,2)/10</f>
        <v>825.56494176387787</v>
      </c>
      <c r="I43" s="119">
        <f ca="1">I42*[1]!juhe($T43,2)/10</f>
        <v>812.10671961307514</v>
      </c>
      <c r="J43" s="119">
        <f ca="1">J42*[1]!juhe($T43,2)/10</f>
        <v>799.17162835597981</v>
      </c>
      <c r="K43" s="119">
        <f ca="1">K42*[1]!juhe($T43,2)/10</f>
        <v>786.73247158527363</v>
      </c>
      <c r="L43" s="119">
        <f ca="1">L42*[1]!juhe($T43,2)/10</f>
        <v>774.76365268230427</v>
      </c>
      <c r="M43" s="119">
        <f ca="1">M42*[1]!juhe($T43,2)/10</f>
        <v>763.24117481708515</v>
      </c>
      <c r="N43" s="119">
        <f ca="1">N42*[1]!juhe($T43,2)/10</f>
        <v>752.14104115962971</v>
      </c>
      <c r="O43" s="207"/>
      <c r="Q43" s="141" t="s">
        <v>204</v>
      </c>
      <c r="R43" s="129" t="str">
        <f t="shared" ref="R43:Y43" ca="1" si="11">INDIRECT("'"&amp;$S$1&amp;"'!"&amp;$Q43&amp;R$4)</f>
        <v>121Y- 126Y</v>
      </c>
      <c r="S43" s="129">
        <f t="shared" ca="1" si="11"/>
        <v>429.81699666990465</v>
      </c>
      <c r="T43" s="129" t="str">
        <f t="shared" ca="1" si="11"/>
        <v>9,9-S1A - 19</v>
      </c>
      <c r="U43" s="129">
        <f t="shared" ca="1" si="11"/>
        <v>119.10158395767212</v>
      </c>
      <c r="V43" s="129">
        <f t="shared" ca="1" si="11"/>
        <v>6</v>
      </c>
      <c r="W43" s="129">
        <f t="shared" ca="1" si="11"/>
        <v>0.27620560930479804</v>
      </c>
      <c r="X43" s="129">
        <f t="shared" ca="1" si="11"/>
        <v>-5</v>
      </c>
      <c r="Y43" s="129">
        <f t="shared" ca="1" si="11"/>
        <v>429.13836240768433</v>
      </c>
      <c r="Z43">
        <v>1</v>
      </c>
    </row>
    <row r="44" spans="1:29" s="114" customFormat="1" x14ac:dyDescent="0.2">
      <c r="A44" s="187"/>
      <c r="B44" s="188"/>
      <c r="C44" s="189"/>
      <c r="D44" s="118" t="s">
        <v>31</v>
      </c>
      <c r="E44" s="120">
        <f ca="1">[1]!ripe([1]!Olekuvorrand($C42,$T43,$Y43,$X43,$W43,E$4,[1]!juhe($T43,6),TRUE),[1]!juhe($T43,6),$C42,0)</f>
        <v>9.5354647664508843</v>
      </c>
      <c r="F44" s="120">
        <f ca="1">[1]!ripe([1]!Olekuvorrand($C42,$T43,$Y43,$X43,$W43,F$4,[1]!juhe($T43,6),TRUE),[1]!juhe($T43,6),$C42,0)</f>
        <v>9.7052777829597474</v>
      </c>
      <c r="G44" s="120">
        <f ca="1">[1]!ripe([1]!Olekuvorrand($C42,$T43,$Y43,$X43,$W43,G$4,[1]!juhe($T43,6),TRUE),[1]!juhe($T43,6),$C42,0)</f>
        <v>9.8739997730957612</v>
      </c>
      <c r="H44" s="120">
        <f ca="1">[1]!ripe([1]!Olekuvorrand($C42,$T43,$Y43,$X43,$W43,H$4,[1]!juhe($T43,6),TRUE),[1]!juhe($T43,6),$C42,0)</f>
        <v>10.041584416938555</v>
      </c>
      <c r="I44" s="120">
        <f ca="1">[1]!ripe([1]!Olekuvorrand($C42,$T43,$Y43,$X43,$W43,I$4,[1]!juhe($T43,6),TRUE),[1]!juhe($T43,6),$C42,0)</f>
        <v>10.207993425219614</v>
      </c>
      <c r="J44" s="120">
        <f ca="1">[1]!ripe([1]!Olekuvorrand($C42,$T43,$Y43,$X43,$W43,J$4,[1]!juhe($T43,6),TRUE),[1]!juhe($T43,6),$C42,0)</f>
        <v>10.373216165644815</v>
      </c>
      <c r="K44" s="120">
        <f ca="1">[1]!ripe([1]!Olekuvorrand($C42,$T43,$Y43,$X43,$W43,K$4,[1]!juhe($T43,6),TRUE),[1]!juhe($T43,6),$C42,0)</f>
        <v>10.537228796063991</v>
      </c>
      <c r="L44" s="120">
        <f ca="1">[1]!ripe([1]!Olekuvorrand($C42,$T43,$Y43,$X43,$W43,L$4,[1]!juhe($T43,6),TRUE),[1]!juhe($T43,6),$C42,0)</f>
        <v>10.700011578610139</v>
      </c>
      <c r="M44" s="120">
        <f ca="1">[1]!ripe([1]!Olekuvorrand($C42,$T43,$Y43,$X43,$W43,M$4,[1]!juhe($T43,6),TRUE),[1]!juhe($T43,6),$C42,0)</f>
        <v>10.861547211959154</v>
      </c>
      <c r="N44" s="120">
        <f ca="1">[1]!ripe([1]!Olekuvorrand($C42,$T43,$Y43,$X43,$W43,N$4,[1]!juhe($T43,6),TRUE),[1]!juhe($T43,6),$C42,0)</f>
        <v>11.021842448067565</v>
      </c>
      <c r="O44" s="207"/>
      <c r="Q44" s="141" t="s">
        <v>204</v>
      </c>
      <c r="R44"/>
      <c r="S44"/>
      <c r="T44"/>
      <c r="U44"/>
      <c r="V44"/>
      <c r="W44"/>
      <c r="X44"/>
      <c r="Y44"/>
      <c r="Z44"/>
    </row>
    <row r="45" spans="1:29" s="114" customFormat="1" x14ac:dyDescent="0.2">
      <c r="A45" s="187"/>
      <c r="B45" s="188"/>
      <c r="C45" s="189"/>
      <c r="D45" s="118" t="s">
        <v>195</v>
      </c>
      <c r="E45" s="120">
        <f ca="1">[1]!ripe([1]!Olekuvorrand($C42,$T43,$Y43,$X43,$W43,E$4,[1]!juhe($T43,6)),[1]!juhe($T43,6),$C42,0)</f>
        <v>9.5354647664508843</v>
      </c>
      <c r="F45" s="120">
        <f ca="1">[1]!ripe([1]!Olekuvorrand($C42,$T43,$Y43,$X43,$W43,F$4,[1]!juhe($T43,6)),[1]!juhe($T43,6),$C42,0)</f>
        <v>9.7052777829597474</v>
      </c>
      <c r="G45" s="120">
        <f ca="1">[1]!ripe([1]!Olekuvorrand($C42,$T43,$Y43,$X43,$W43,G$4,[1]!juhe($T43,6)),[1]!juhe($T43,6),$C42,0)</f>
        <v>9.8739997730957612</v>
      </c>
      <c r="H45" s="120">
        <f ca="1">[1]!ripe([1]!Olekuvorrand($C42,$T43,$Y43,$X43,$W43,H$4,[1]!juhe($T43,6)),[1]!juhe($T43,6),$C42,0)</f>
        <v>10.041584416938555</v>
      </c>
      <c r="I45" s="120">
        <f ca="1">[1]!ripe([1]!Olekuvorrand($C42,$T43,$Y43,$X43,$W43,I$4,[1]!juhe($T43,6)),[1]!juhe($T43,6),$C42,0)</f>
        <v>10.207993425219614</v>
      </c>
      <c r="J45" s="120">
        <f ca="1">[1]!ripe([1]!Olekuvorrand($C42,$T43,$Y43,$X43,$W43,J$4,[1]!juhe($T43,6)),[1]!juhe($T43,6),$C42,0)</f>
        <v>10.373216165644815</v>
      </c>
      <c r="K45" s="120">
        <f ca="1">[1]!ripe([1]!Olekuvorrand($C42,$T43,$Y43,$X43,$W43,K$4,[1]!juhe($T43,6)),[1]!juhe($T43,6),$C42,0)</f>
        <v>10.537228796063991</v>
      </c>
      <c r="L45" s="120">
        <f ca="1">[1]!ripe([1]!Olekuvorrand($C42,$T43,$Y43,$X43,$W43,L$4,[1]!juhe($T43,6)),[1]!juhe($T43,6),$C42,0)</f>
        <v>10.700011578610139</v>
      </c>
      <c r="M45" s="120">
        <f ca="1">[1]!ripe([1]!Olekuvorrand($C42,$T43,$Y43,$X43,$W43,M$4,[1]!juhe($T43,6)),[1]!juhe($T43,6),$C42,0)</f>
        <v>10.861547211959154</v>
      </c>
      <c r="N45" s="120">
        <f ca="1">[1]!ripe([1]!Olekuvorrand($C42,$T43,$Y43,$X43,$W43,N$4,[1]!juhe($T43,6)),[1]!juhe($T43,6),$C42,0)</f>
        <v>11.021842448067565</v>
      </c>
      <c r="O45" s="207"/>
      <c r="Q45" s="141" t="s">
        <v>204</v>
      </c>
      <c r="R45"/>
      <c r="S45"/>
      <c r="T45"/>
      <c r="U45"/>
      <c r="V45"/>
      <c r="W45"/>
      <c r="X45"/>
      <c r="Y45"/>
      <c r="Z45"/>
      <c r="AC45" s="121"/>
    </row>
    <row r="46" spans="1:29" x14ac:dyDescent="0.2">
      <c r="A46" s="105"/>
      <c r="B46" s="113" t="str">
        <f ca="1">INDIRECT("Visangud!C" &amp; R46)</f>
        <v>121Y-122Y</v>
      </c>
      <c r="C46" s="106">
        <f ca="1">INDIRECT("Visangud!"&amp;Q46&amp;R46)</f>
        <v>449.09595110651054</v>
      </c>
      <c r="D46" s="10" t="s">
        <v>31</v>
      </c>
      <c r="E46" s="12">
        <f ca="1">[1]!ripe(E$42,[1]!juhe($T$8,6),$C46,0)</f>
        <v>10.410053814479305</v>
      </c>
      <c r="F46" s="12">
        <f ca="1">[1]!ripe(F$42,[1]!juhe($T$8,6),$C46,0)</f>
        <v>10.595442013539715</v>
      </c>
      <c r="G46" s="12">
        <f ca="1">[1]!ripe(G$42,[1]!juhe($T$8,6),$C46,0)</f>
        <v>10.779639117720897</v>
      </c>
      <c r="H46" s="12">
        <f ca="1">[1]!ripe(H$42,[1]!juhe($T$8,6),$C46,0)</f>
        <v>10.962594558657749</v>
      </c>
      <c r="I46" s="12">
        <f ca="1">[1]!ripe(I$42,[1]!juhe($T$8,6),$C46,0)</f>
        <v>11.144266535205228</v>
      </c>
      <c r="J46" s="12">
        <f ca="1">[1]!ripe(J$42,[1]!juhe($T$8,6),$C46,0)</f>
        <v>11.324643439879404</v>
      </c>
      <c r="K46" s="12">
        <f ca="1">[1]!ripe(K$42,[1]!juhe($T$8,6),$C46,0)</f>
        <v>11.503699243737552</v>
      </c>
      <c r="L46" s="12">
        <f ca="1">[1]!ripe(L$42,[1]!juhe($T$8,6),$C46,0)</f>
        <v>11.681412398563337</v>
      </c>
      <c r="M46" s="12">
        <f ca="1">[1]!ripe(M$42,[1]!juhe($T$8,6),$C46,0)</f>
        <v>11.85776401616206</v>
      </c>
      <c r="N46" s="12">
        <f ca="1">[1]!ripe(N$42,[1]!juhe($T$8,6),$C46,0)</f>
        <v>12.032761467777028</v>
      </c>
      <c r="O46" s="124"/>
      <c r="Q46" s="141" t="s">
        <v>204</v>
      </c>
      <c r="R46">
        <v>33</v>
      </c>
      <c r="S46"/>
      <c r="T46"/>
      <c r="U46"/>
      <c r="V46"/>
      <c r="W46"/>
      <c r="X46"/>
      <c r="Y46"/>
      <c r="Z46"/>
      <c r="AC46" s="11"/>
    </row>
    <row r="47" spans="1:29" x14ac:dyDescent="0.2">
      <c r="A47" s="108"/>
      <c r="B47" s="113" t="str">
        <f t="shared" ref="B47:B50" ca="1" si="12">INDIRECT("Visangud!C" &amp; R47)</f>
        <v>122Y-123Y</v>
      </c>
      <c r="C47" s="106">
        <f t="shared" ref="C47:C50" ca="1" si="13">INDIRECT("Visangud!"&amp;Q47&amp;R47)</f>
        <v>441.34479763573052</v>
      </c>
      <c r="D47" s="10" t="s">
        <v>31</v>
      </c>
      <c r="E47" s="12">
        <f ca="1">[1]!ripe(E$42,[1]!juhe($T$8,6),$C47,0)</f>
        <v>10.053811045843107</v>
      </c>
      <c r="F47" s="12">
        <f ca="1">[1]!ripe(F$42,[1]!juhe($T$8,6),$C47,0)</f>
        <v>10.232855069697246</v>
      </c>
      <c r="G47" s="12">
        <f ca="1">[1]!ripe(G$42,[1]!juhe($T$8,6),$C47,0)</f>
        <v>10.410748759166298</v>
      </c>
      <c r="H47" s="12">
        <f ca="1">[1]!ripe(H$42,[1]!juhe($T$8,6),$C47,0)</f>
        <v>10.587443276386717</v>
      </c>
      <c r="I47" s="12">
        <f ca="1">[1]!ripe(I$42,[1]!juhe($T$8,6),$C47,0)</f>
        <v>10.762898250691721</v>
      </c>
      <c r="J47" s="12">
        <f ca="1">[1]!ripe(J$42,[1]!juhe($T$8,6),$C47,0)</f>
        <v>10.937102471817445</v>
      </c>
      <c r="K47" s="12">
        <f ca="1">[1]!ripe(K$42,[1]!juhe($T$8,6),$C47,0)</f>
        <v>11.1100308015584</v>
      </c>
      <c r="L47" s="12">
        <f ca="1">[1]!ripe(L$42,[1]!juhe($T$8,6),$C47,0)</f>
        <v>11.28166242910042</v>
      </c>
      <c r="M47" s="12">
        <f ca="1">[1]!ripe(M$42,[1]!juhe($T$8,6),$C47,0)</f>
        <v>11.451979112622293</v>
      </c>
      <c r="N47" s="12">
        <f ca="1">[1]!ripe(N$42,[1]!juhe($T$8,6),$C47,0)</f>
        <v>11.620987971115785</v>
      </c>
      <c r="O47" s="125"/>
      <c r="Q47" s="141" t="s">
        <v>204</v>
      </c>
      <c r="R47">
        <v>34</v>
      </c>
      <c r="S47"/>
      <c r="T47"/>
      <c r="U47"/>
      <c r="V47"/>
      <c r="W47"/>
      <c r="X47"/>
      <c r="Y47"/>
      <c r="Z47"/>
    </row>
    <row r="48" spans="1:29" x14ac:dyDescent="0.2">
      <c r="A48" s="108"/>
      <c r="B48" s="113" t="str">
        <f t="shared" ca="1" si="12"/>
        <v>123Y-124Y</v>
      </c>
      <c r="C48" s="106">
        <f t="shared" ca="1" si="13"/>
        <v>449.20141629336644</v>
      </c>
      <c r="D48" s="10" t="s">
        <v>31</v>
      </c>
      <c r="E48" s="12">
        <f ca="1">[1]!ripe(E$42,[1]!juhe($T$8,6),$C48,0)</f>
        <v>10.41494375918985</v>
      </c>
      <c r="F48" s="12">
        <f ca="1">[1]!ripe(F$42,[1]!juhe($T$8,6),$C48,0)</f>
        <v>10.600419041185617</v>
      </c>
      <c r="G48" s="12">
        <f ca="1">[1]!ripe(G$42,[1]!juhe($T$8,6),$C48,0)</f>
        <v>10.784702668805711</v>
      </c>
      <c r="H48" s="12">
        <f ca="1">[1]!ripe(H$42,[1]!juhe($T$8,6),$C48,0)</f>
        <v>10.967744049931405</v>
      </c>
      <c r="I48" s="12">
        <f ca="1">[1]!ripe(I$42,[1]!juhe($T$8,6),$C48,0)</f>
        <v>11.149501363782283</v>
      </c>
      <c r="J48" s="12">
        <f ca="1">[1]!ripe(J$42,[1]!juhe($T$8,6),$C48,0)</f>
        <v>11.329962997421999</v>
      </c>
      <c r="K48" s="12">
        <f ca="1">[1]!ripe(K$42,[1]!juhe($T$8,6),$C48,0)</f>
        <v>11.509102909681177</v>
      </c>
      <c r="L48" s="12">
        <f ca="1">[1]!ripe(L$42,[1]!juhe($T$8,6),$C48,0)</f>
        <v>11.686899542221575</v>
      </c>
      <c r="M48" s="12">
        <f ca="1">[1]!ripe(M$42,[1]!juhe($T$8,6),$C48,0)</f>
        <v>11.863333997976088</v>
      </c>
      <c r="N48" s="12">
        <f ca="1">[1]!ripe(N$42,[1]!juhe($T$8,6),$C48,0)</f>
        <v>12.03841365165054</v>
      </c>
      <c r="O48" s="125"/>
      <c r="Q48" s="141" t="s">
        <v>204</v>
      </c>
      <c r="R48">
        <v>35</v>
      </c>
      <c r="S48"/>
      <c r="T48"/>
      <c r="U48"/>
      <c r="V48"/>
      <c r="W48"/>
      <c r="X48"/>
      <c r="Y48"/>
      <c r="Z48"/>
    </row>
    <row r="49" spans="1:29" x14ac:dyDescent="0.2">
      <c r="A49" s="108"/>
      <c r="B49" s="113" t="str">
        <f t="shared" ca="1" si="12"/>
        <v>124Y-125Y</v>
      </c>
      <c r="C49" s="106">
        <f t="shared" ca="1" si="13"/>
        <v>436.49370213105294</v>
      </c>
      <c r="D49" s="10" t="s">
        <v>31</v>
      </c>
      <c r="E49" s="12">
        <f ca="1">[1]!ripe(E$42,[1]!juhe($T$8,6),$C49,0)</f>
        <v>9.8340103089547135</v>
      </c>
      <c r="F49" s="12">
        <f ca="1">[1]!ripe(F$42,[1]!juhe($T$8,6),$C49,0)</f>
        <v>10.009139995429809</v>
      </c>
      <c r="G49" s="12">
        <f ca="1">[1]!ripe(G$42,[1]!juhe($T$8,6),$C49,0)</f>
        <v>10.183144496624404</v>
      </c>
      <c r="H49" s="12">
        <f ca="1">[1]!ripe(H$42,[1]!juhe($T$8,6),$C49,0)</f>
        <v>10.355976042389313</v>
      </c>
      <c r="I49" s="12">
        <f ca="1">[1]!ripe(I$42,[1]!juhe($T$8,6),$C49,0)</f>
        <v>10.527595144658616</v>
      </c>
      <c r="J49" s="12">
        <f ca="1">[1]!ripe(J$42,[1]!juhe($T$8,6),$C49,0)</f>
        <v>10.697990838252052</v>
      </c>
      <c r="K49" s="12">
        <f ca="1">[1]!ripe(K$42,[1]!juhe($T$8,6),$C49,0)</f>
        <v>10.867138534546385</v>
      </c>
      <c r="L49" s="12">
        <f ca="1">[1]!ripe(L$42,[1]!juhe($T$8,6),$C49,0)</f>
        <v>11.035017877702407</v>
      </c>
      <c r="M49" s="12">
        <f ca="1">[1]!ripe(M$42,[1]!juhe($T$8,6),$C49,0)</f>
        <v>11.20161102470944</v>
      </c>
      <c r="N49" s="12">
        <f ca="1">[1]!ripe(N$42,[1]!juhe($T$8,6),$C49,0)</f>
        <v>11.366924938920794</v>
      </c>
      <c r="O49" s="125"/>
      <c r="Q49" s="141" t="s">
        <v>204</v>
      </c>
      <c r="R49">
        <v>36</v>
      </c>
      <c r="S49"/>
      <c r="T49"/>
      <c r="U49"/>
      <c r="V49"/>
      <c r="W49"/>
      <c r="X49"/>
      <c r="Y49"/>
      <c r="Z49"/>
    </row>
    <row r="50" spans="1:29" x14ac:dyDescent="0.2">
      <c r="A50" s="108"/>
      <c r="B50" s="113" t="str">
        <f t="shared" ca="1" si="12"/>
        <v>125Y-126Y</v>
      </c>
      <c r="C50" s="106">
        <f t="shared" ca="1" si="13"/>
        <v>347.58182475472358</v>
      </c>
      <c r="D50" s="10" t="s">
        <v>31</v>
      </c>
      <c r="E50" s="12">
        <f ca="1">[1]!ripe(E$42,[1]!juhe($T$8,6),$C50,0)</f>
        <v>6.2357516897230543</v>
      </c>
      <c r="F50" s="12">
        <f ca="1">[1]!ripe(F$42,[1]!juhe($T$8,6),$C50,0)</f>
        <v>6.3468015263663329</v>
      </c>
      <c r="G50" s="12">
        <f ca="1">[1]!ripe(G$42,[1]!juhe($T$8,6),$C50,0)</f>
        <v>6.4571378823650223</v>
      </c>
      <c r="H50" s="12">
        <f ca="1">[1]!ripe(H$42,[1]!juhe($T$8,6),$C50,0)</f>
        <v>6.5667304666395792</v>
      </c>
      <c r="I50" s="12">
        <f ca="1">[1]!ripe(I$42,[1]!juhe($T$8,6),$C50,0)</f>
        <v>6.6755542397843035</v>
      </c>
      <c r="J50" s="12">
        <f ca="1">[1]!ripe(J$42,[1]!juhe($T$8,6),$C50,0)</f>
        <v>6.7836022487719756</v>
      </c>
      <c r="K50" s="12">
        <f ca="1">[1]!ripe(K$42,[1]!juhe($T$8,6),$C50,0)</f>
        <v>6.8908589019422184</v>
      </c>
      <c r="L50" s="12">
        <f ca="1">[1]!ripe(L$42,[1]!juhe($T$8,6),$C50,0)</f>
        <v>6.9973112916454818</v>
      </c>
      <c r="M50" s="12">
        <f ca="1">[1]!ripe(M$42,[1]!juhe($T$8,6),$C50,0)</f>
        <v>7.1029481036182576</v>
      </c>
      <c r="N50" s="12">
        <f ca="1">[1]!ripe(N$42,[1]!juhe($T$8,6),$C50,0)</f>
        <v>7.2077737533269524</v>
      </c>
      <c r="O50" s="125"/>
      <c r="Q50" s="141" t="s">
        <v>204</v>
      </c>
      <c r="R50">
        <v>37</v>
      </c>
      <c r="S50"/>
      <c r="T50"/>
      <c r="U50"/>
      <c r="V50"/>
      <c r="W50"/>
      <c r="X50"/>
      <c r="Y50"/>
      <c r="Z50"/>
    </row>
    <row r="51" spans="1:29" s="114" customFormat="1" hidden="1" x14ac:dyDescent="0.2">
      <c r="A51" s="187">
        <v>6</v>
      </c>
      <c r="B51" s="188" t="str">
        <f ca="1">R52</f>
        <v>126Y- 128Y</v>
      </c>
      <c r="C51" s="189">
        <f ca="1">S52</f>
        <v>421.89254548697357</v>
      </c>
      <c r="D51" s="118" t="s">
        <v>130</v>
      </c>
      <c r="E51" s="119">
        <f ca="1">[1]!Olekuvorrand($C51,$T52,$Y52,$X52,$W52,E$4,[1]!juhe($T52,6),TRUE)</f>
        <v>130.19698858261108</v>
      </c>
      <c r="F51" s="119">
        <f ca="1">[1]!Olekuvorrand($C51,$T52,$Y52,$X52,$W52,F$4,[1]!juhe($T52,6),TRUE)</f>
        <v>127.83795595169067</v>
      </c>
      <c r="G51" s="119">
        <f ca="1">[1]!Olekuvorrand($C51,$T52,$Y52,$X52,$W52,G$4,[1]!juhe($T52,6),TRUE)</f>
        <v>125.57691335678101</v>
      </c>
      <c r="H51" s="119">
        <f ca="1">[1]!Olekuvorrand($C51,$T52,$Y52,$X52,$W52,H$4,[1]!juhe($T52,6),TRUE)</f>
        <v>123.40837717056274</v>
      </c>
      <c r="I51" s="119">
        <f ca="1">[1]!Olekuvorrand($C51,$T52,$Y52,$X52,$W52,I$4,[1]!juhe($T52,6),TRUE)</f>
        <v>121.32769823074341</v>
      </c>
      <c r="J51" s="119">
        <f ca="1">[1]!Olekuvorrand($C51,$T52,$Y52,$X52,$W52,J$4,[1]!juhe($T52,6),TRUE)</f>
        <v>119.32998895645142</v>
      </c>
      <c r="K51" s="119">
        <f ca="1">[1]!Olekuvorrand($C51,$T52,$Y52,$X52,$W52,K$4,[1]!juhe($T52,6),TRUE)</f>
        <v>117.41083860397339</v>
      </c>
      <c r="L51" s="119">
        <f ca="1">[1]!Olekuvorrand($C51,$T52,$Y52,$X52,$W52,L$4,[1]!juhe($T52,6),TRUE)</f>
        <v>115.56607484817505</v>
      </c>
      <c r="M51" s="119">
        <f ca="1">[1]!Olekuvorrand($C51,$T52,$Y52,$X52,$W52,M$4,[1]!juhe($T52,6),TRUE)</f>
        <v>113.79176378250122</v>
      </c>
      <c r="N51" s="119">
        <f ca="1">[1]!Olekuvorrand($C51,$T52,$Y52,$X52,$W52,N$4,[1]!juhe($T52,6),TRUE)</f>
        <v>112.08420991897583</v>
      </c>
      <c r="O51" s="207">
        <f ca="1">U52</f>
        <v>119.32998895645142</v>
      </c>
      <c r="Q51" s="141" t="s">
        <v>208</v>
      </c>
      <c r="R51"/>
      <c r="S51"/>
      <c r="T51"/>
      <c r="U51"/>
      <c r="V51"/>
      <c r="W51"/>
      <c r="X51"/>
      <c r="Y51"/>
      <c r="Z51"/>
    </row>
    <row r="52" spans="1:29" s="114" customFormat="1" x14ac:dyDescent="0.2">
      <c r="A52" s="187"/>
      <c r="B52" s="188"/>
      <c r="C52" s="189"/>
      <c r="D52" s="118" t="s">
        <v>32</v>
      </c>
      <c r="E52" s="119">
        <f ca="1">E51*[1]!juhe($T52,2)/10</f>
        <v>873.62179338932037</v>
      </c>
      <c r="F52" s="119">
        <f ca="1">F51*[1]!juhe($T52,2)/10</f>
        <v>857.79268443584442</v>
      </c>
      <c r="G52" s="119">
        <f ca="1">G51*[1]!juhe($T52,2)/10</f>
        <v>842.62108862400055</v>
      </c>
      <c r="H52" s="119">
        <f ca="1">H51*[1]!juhe($T52,2)/10</f>
        <v>828.07021081447601</v>
      </c>
      <c r="I52" s="119">
        <f ca="1">I51*[1]!juhe($T52,2)/10</f>
        <v>814.10885512828816</v>
      </c>
      <c r="J52" s="119">
        <f ca="1">J51*[1]!juhe($T52,2)/10</f>
        <v>800.70422589778889</v>
      </c>
      <c r="K52" s="119">
        <f ca="1">K51*[1]!juhe($T52,2)/10</f>
        <v>787.82672703266132</v>
      </c>
      <c r="L52" s="119">
        <f ca="1">L51*[1]!juhe($T52,2)/10</f>
        <v>775.44836223125446</v>
      </c>
      <c r="M52" s="119">
        <f ca="1">M51*[1]!juhe($T52,2)/10</f>
        <v>763.54273498058308</v>
      </c>
      <c r="N52" s="119">
        <f ca="1">N51*[1]!juhe($T52,2)/10</f>
        <v>752.08504855632771</v>
      </c>
      <c r="O52" s="207"/>
      <c r="Q52" s="141" t="s">
        <v>205</v>
      </c>
      <c r="R52" s="129" t="str">
        <f t="shared" ref="R52:Y52" ca="1" si="14">INDIRECT("'"&amp;$S$1&amp;"'!"&amp;$Q52&amp;R$4)</f>
        <v>126Y- 128Y</v>
      </c>
      <c r="S52" s="129">
        <f t="shared" ca="1" si="14"/>
        <v>421.89254548697357</v>
      </c>
      <c r="T52" s="129" t="str">
        <f t="shared" ca="1" si="14"/>
        <v>9,9-S1A - 19</v>
      </c>
      <c r="U52" s="129">
        <f t="shared" ca="1" si="14"/>
        <v>119.32998895645142</v>
      </c>
      <c r="V52" s="129">
        <f t="shared" ca="1" si="14"/>
        <v>6</v>
      </c>
      <c r="W52" s="129">
        <f t="shared" ca="1" si="14"/>
        <v>0.27667903726052695</v>
      </c>
      <c r="X52" s="129">
        <f t="shared" ca="1" si="14"/>
        <v>-5</v>
      </c>
      <c r="Y52" s="129">
        <f t="shared" ca="1" si="14"/>
        <v>427.04278230667114</v>
      </c>
      <c r="Z52">
        <v>1</v>
      </c>
    </row>
    <row r="53" spans="1:29" s="114" customFormat="1" x14ac:dyDescent="0.2">
      <c r="A53" s="187"/>
      <c r="B53" s="188"/>
      <c r="C53" s="189"/>
      <c r="D53" s="118" t="s">
        <v>31</v>
      </c>
      <c r="E53" s="120">
        <f ca="1">[1]!ripe([1]!Olekuvorrand($C51,$T52,$Y52,$X52,$W52,E$4,[1]!juhe($T52,6),TRUE),[1]!juhe($T52,6),$C51,0)</f>
        <v>9.1425334797710001</v>
      </c>
      <c r="F53" s="120">
        <f ca="1">[1]!ripe([1]!Olekuvorrand($C51,$T52,$Y52,$X52,$W52,F$4,[1]!juhe($T52,6),TRUE),[1]!juhe($T52,6),$C51,0)</f>
        <v>9.3112434270437205</v>
      </c>
      <c r="G53" s="120">
        <f ca="1">[1]!ripe([1]!Olekuvorrand($C51,$T52,$Y52,$X52,$W52,G$4,[1]!juhe($T52,6),TRUE),[1]!juhe($T52,6),$C51,0)</f>
        <v>9.4788946093936453</v>
      </c>
      <c r="H53" s="120">
        <f ca="1">[1]!ripe([1]!Olekuvorrand($C51,$T52,$Y52,$X52,$W52,H$4,[1]!juhe($T52,6),TRUE),[1]!juhe($T52,6),$C51,0)</f>
        <v>9.6454580667301748</v>
      </c>
      <c r="I53" s="120">
        <f ca="1">[1]!ripe([1]!Olekuvorrand($C51,$T52,$Y52,$X52,$W52,I$4,[1]!juhe($T52,6),TRUE),[1]!juhe($T52,6),$C51,0)</f>
        <v>9.8108704314005095</v>
      </c>
      <c r="J53" s="120">
        <f ca="1">[1]!ripe([1]!Olekuvorrand($C51,$T52,$Y52,$X52,$W52,J$4,[1]!juhe($T52,6),TRUE),[1]!juhe($T52,6),$C51,0)</f>
        <v>9.9751147007671861</v>
      </c>
      <c r="K53" s="120">
        <f ca="1">[1]!ripe([1]!Olekuvorrand($C51,$T52,$Y52,$X52,$W52,K$4,[1]!juhe($T52,6),TRUE),[1]!juhe($T52,6),$C51,0)</f>
        <v>10.13816391429472</v>
      </c>
      <c r="L53" s="120">
        <f ca="1">[1]!ripe([1]!Olekuvorrand($C51,$T52,$Y52,$X52,$W52,L$4,[1]!juhe($T52,6),TRUE),[1]!juhe($T52,6),$C51,0)</f>
        <v>10.29999788991433</v>
      </c>
      <c r="M53" s="120">
        <f ca="1">[1]!ripe([1]!Olekuvorrand($C51,$T52,$Y52,$X52,$W52,M$4,[1]!juhe($T52,6),TRUE),[1]!juhe($T52,6),$C51,0)</f>
        <v>10.460601782718234</v>
      </c>
      <c r="N53" s="120">
        <f ca="1">[1]!ripe([1]!Olekuvorrand($C51,$T52,$Y52,$X52,$W52,N$4,[1]!juhe($T52,6),TRUE),[1]!juhe($T52,6),$C51,0)</f>
        <v>10.619964470841685</v>
      </c>
      <c r="O53" s="207"/>
      <c r="Q53" s="141" t="s">
        <v>205</v>
      </c>
      <c r="R53"/>
      <c r="S53"/>
      <c r="T53"/>
      <c r="U53"/>
      <c r="V53"/>
      <c r="W53"/>
      <c r="X53"/>
      <c r="Y53"/>
      <c r="Z53"/>
    </row>
    <row r="54" spans="1:29" s="114" customFormat="1" x14ac:dyDescent="0.2">
      <c r="A54" s="187"/>
      <c r="B54" s="188"/>
      <c r="C54" s="189"/>
      <c r="D54" s="118" t="s">
        <v>195</v>
      </c>
      <c r="E54" s="120">
        <f ca="1">[1]!ripe([1]!Olekuvorrand($C51,$T52,$Y52,$X52,$W52,E$4,[1]!juhe($T52,6)),[1]!juhe($T52,6),$C51,0)</f>
        <v>9.1425334797710001</v>
      </c>
      <c r="F54" s="120">
        <f ca="1">[1]!ripe([1]!Olekuvorrand($C51,$T52,$Y52,$X52,$W52,F$4,[1]!juhe($T52,6)),[1]!juhe($T52,6),$C51,0)</f>
        <v>9.3112434270437205</v>
      </c>
      <c r="G54" s="120">
        <f ca="1">[1]!ripe([1]!Olekuvorrand($C51,$T52,$Y52,$X52,$W52,G$4,[1]!juhe($T52,6)),[1]!juhe($T52,6),$C51,0)</f>
        <v>9.4788946093936453</v>
      </c>
      <c r="H54" s="120">
        <f ca="1">[1]!ripe([1]!Olekuvorrand($C51,$T52,$Y52,$X52,$W52,H$4,[1]!juhe($T52,6)),[1]!juhe($T52,6),$C51,0)</f>
        <v>9.6454580667301748</v>
      </c>
      <c r="I54" s="120">
        <f ca="1">[1]!ripe([1]!Olekuvorrand($C51,$T52,$Y52,$X52,$W52,I$4,[1]!juhe($T52,6)),[1]!juhe($T52,6),$C51,0)</f>
        <v>9.8108704314005095</v>
      </c>
      <c r="J54" s="120">
        <f ca="1">[1]!ripe([1]!Olekuvorrand($C51,$T52,$Y52,$X52,$W52,J$4,[1]!juhe($T52,6)),[1]!juhe($T52,6),$C51,0)</f>
        <v>9.9751147007671861</v>
      </c>
      <c r="K54" s="120">
        <f ca="1">[1]!ripe([1]!Olekuvorrand($C51,$T52,$Y52,$X52,$W52,K$4,[1]!juhe($T52,6)),[1]!juhe($T52,6),$C51,0)</f>
        <v>10.13816391429472</v>
      </c>
      <c r="L54" s="120">
        <f ca="1">[1]!ripe([1]!Olekuvorrand($C51,$T52,$Y52,$X52,$W52,L$4,[1]!juhe($T52,6)),[1]!juhe($T52,6),$C51,0)</f>
        <v>10.29999788991433</v>
      </c>
      <c r="M54" s="120">
        <f ca="1">[1]!ripe([1]!Olekuvorrand($C51,$T52,$Y52,$X52,$W52,M$4,[1]!juhe($T52,6)),[1]!juhe($T52,6),$C51,0)</f>
        <v>10.460601782718234</v>
      </c>
      <c r="N54" s="120">
        <f ca="1">[1]!ripe([1]!Olekuvorrand($C51,$T52,$Y52,$X52,$W52,N$4,[1]!juhe($T52,6)),[1]!juhe($T52,6),$C51,0)</f>
        <v>10.619964470841685</v>
      </c>
      <c r="O54" s="207"/>
      <c r="Q54" s="141" t="s">
        <v>205</v>
      </c>
      <c r="R54"/>
      <c r="S54"/>
      <c r="T54"/>
      <c r="U54"/>
      <c r="V54"/>
      <c r="W54"/>
      <c r="X54"/>
      <c r="Y54"/>
      <c r="Z54"/>
      <c r="AC54" s="121"/>
    </row>
    <row r="55" spans="1:29" x14ac:dyDescent="0.2">
      <c r="A55" s="105"/>
      <c r="B55" s="113" t="str">
        <f ca="1">INDIRECT("Visangud!C" &amp; R55)</f>
        <v>126Y-127Y</v>
      </c>
      <c r="C55" s="106">
        <f ca="1">INDIRECT("Visangud!"&amp;Q55&amp;R55)</f>
        <v>417.31009393500989</v>
      </c>
      <c r="D55" s="10" t="s">
        <v>31</v>
      </c>
      <c r="E55" s="12">
        <f ca="1">[1]!ripe(E$51,[1]!juhe($T$8,6),$C55,0)</f>
        <v>8.9450059743901527</v>
      </c>
      <c r="F55" s="12">
        <f ca="1">[1]!ripe(F$51,[1]!juhe($T$8,6),$C55,0)</f>
        <v>9.1100708866086997</v>
      </c>
      <c r="G55" s="12">
        <f ca="1">[1]!ripe(G$51,[1]!juhe($T$8,6),$C55,0)</f>
        <v>9.2740999088760852</v>
      </c>
      <c r="H55" s="12">
        <f ca="1">[1]!ripe(H$51,[1]!juhe($T$8,6),$C55,0)</f>
        <v>9.4370647067941835</v>
      </c>
      <c r="I55" s="12">
        <f ca="1">[1]!ripe(I$51,[1]!juhe($T$8,6),$C55,0)</f>
        <v>9.5989032817896121</v>
      </c>
      <c r="J55" s="12">
        <f ca="1">[1]!ripe(J$51,[1]!juhe($T$8,6),$C55,0)</f>
        <v>9.7595989985725993</v>
      </c>
      <c r="K55" s="12">
        <f ca="1">[1]!ripe(K$51,[1]!juhe($T$8,6),$C55,0)</f>
        <v>9.9191254790990833</v>
      </c>
      <c r="L55" s="12">
        <f ca="1">[1]!ripe(L$51,[1]!juhe($T$8,6),$C55,0)</f>
        <v>10.077462977340652</v>
      </c>
      <c r="M55" s="12">
        <f ca="1">[1]!ripe(M$51,[1]!juhe($T$8,6),$C55,0)</f>
        <v>10.234596969118741</v>
      </c>
      <c r="N55" s="12">
        <f ca="1">[1]!ripe(N$51,[1]!juhe($T$8,6),$C55,0)</f>
        <v>10.390516572860223</v>
      </c>
      <c r="O55" s="124"/>
      <c r="Q55" s="141" t="s">
        <v>205</v>
      </c>
      <c r="R55">
        <v>38</v>
      </c>
      <c r="S55"/>
      <c r="T55"/>
      <c r="U55"/>
      <c r="V55"/>
      <c r="W55"/>
      <c r="X55"/>
      <c r="Y55"/>
      <c r="Z55"/>
      <c r="AC55" s="11"/>
    </row>
    <row r="56" spans="1:29" x14ac:dyDescent="0.2">
      <c r="A56" s="108"/>
      <c r="B56" s="113" t="str">
        <f t="shared" ref="B56" ca="1" si="15">INDIRECT("Visangud!C" &amp; R56)</f>
        <v>127Y-128Y</v>
      </c>
      <c r="C56" s="106">
        <f t="shared" ref="C56" ca="1" si="16">INDIRECT("Visangud!"&amp;Q56&amp;R56)</f>
        <v>426.33034198842131</v>
      </c>
      <c r="D56" s="10" t="s">
        <v>31</v>
      </c>
      <c r="E56" s="12">
        <f ca="1">[1]!ripe(E$51,[1]!juhe($T$8,6),$C56,0)</f>
        <v>9.3358817210450606</v>
      </c>
      <c r="F56" s="12">
        <f ca="1">[1]!ripe(F$51,[1]!juhe($T$8,6),$C56,0)</f>
        <v>9.5081595821419729</v>
      </c>
      <c r="G56" s="12">
        <f ca="1">[1]!ripe(G$51,[1]!juhe($T$8,6),$C56,0)</f>
        <v>9.6793562873304637</v>
      </c>
      <c r="H56" s="12">
        <f ca="1">[1]!ripe(H$51,[1]!juhe($T$8,6),$C56,0)</f>
        <v>9.8494422640657806</v>
      </c>
      <c r="I56" s="12">
        <f ca="1">[1]!ripe(I$51,[1]!juhe($T$8,6),$C56,0)</f>
        <v>10.018352804582531</v>
      </c>
      <c r="J56" s="12">
        <f ca="1">[1]!ripe(J$51,[1]!juhe($T$8,6),$C56,0)</f>
        <v>10.186070546667864</v>
      </c>
      <c r="K56" s="12">
        <f ca="1">[1]!ripe(K$51,[1]!juhe($T$8,6),$C56,0)</f>
        <v>10.35256795961916</v>
      </c>
      <c r="L56" s="12">
        <f ca="1">[1]!ripe(L$51,[1]!juhe($T$8,6),$C56,0)</f>
        <v>10.517824434552955</v>
      </c>
      <c r="M56" s="12">
        <f ca="1">[1]!ripe(M$51,[1]!juhe($T$8,6),$C56,0)</f>
        <v>10.681824812618206</v>
      </c>
      <c r="N56" s="12">
        <f ca="1">[1]!ripe(N$51,[1]!juhe($T$8,6),$C56,0)</f>
        <v>10.844557736742601</v>
      </c>
      <c r="O56" s="125"/>
      <c r="Q56" s="141" t="s">
        <v>205</v>
      </c>
      <c r="R56">
        <v>39</v>
      </c>
      <c r="S56"/>
      <c r="T56"/>
      <c r="U56"/>
      <c r="V56"/>
      <c r="W56"/>
      <c r="X56"/>
      <c r="Y56"/>
      <c r="Z56"/>
    </row>
    <row r="57" spans="1:29" s="114" customFormat="1" hidden="1" x14ac:dyDescent="0.2">
      <c r="A57" s="187">
        <v>7</v>
      </c>
      <c r="B57" s="188" t="str">
        <f ca="1">R58</f>
        <v>128Y- 133Y</v>
      </c>
      <c r="C57" s="189">
        <f ca="1">S58</f>
        <v>408.37030439381806</v>
      </c>
      <c r="D57" s="118" t="s">
        <v>130</v>
      </c>
      <c r="E57" s="119">
        <f ca="1">[1]!Olekuvorrand($C57,$T58,$Y58,$X58,$W58,E$4,[1]!juhe($T58,6),TRUE)</f>
        <v>133.57192277908325</v>
      </c>
      <c r="F57" s="119">
        <f ca="1">[1]!Olekuvorrand($C57,$T58,$Y58,$X58,$W58,F$4,[1]!juhe($T58,6),TRUE)</f>
        <v>130.9470534324646</v>
      </c>
      <c r="G57" s="119">
        <f ca="1">[1]!Olekuvorrand($C57,$T58,$Y58,$X58,$W58,G$4,[1]!juhe($T58,6),TRUE)</f>
        <v>128.43674421310425</v>
      </c>
      <c r="H57" s="119">
        <f ca="1">[1]!Olekuvorrand($C57,$T58,$Y58,$X58,$W58,H$4,[1]!juhe($T58,6),TRUE)</f>
        <v>126.03455781936646</v>
      </c>
      <c r="I57" s="119">
        <f ca="1">[1]!Olekuvorrand($C57,$T58,$Y58,$X58,$W58,I$4,[1]!juhe($T58,6),TRUE)</f>
        <v>123.73465299606323</v>
      </c>
      <c r="J57" s="119">
        <f ca="1">[1]!Olekuvorrand($C57,$T58,$Y58,$X58,$W58,J$4,[1]!juhe($T58,6),TRUE)</f>
        <v>121.53154611587524</v>
      </c>
      <c r="K57" s="119">
        <f ca="1">[1]!Olekuvorrand($C57,$T58,$Y58,$X58,$W58,K$4,[1]!juhe($T58,6),TRUE)</f>
        <v>119.41987276077271</v>
      </c>
      <c r="L57" s="119">
        <f ca="1">[1]!Olekuvorrand($C57,$T58,$Y58,$X58,$W58,L$4,[1]!juhe($T58,6),TRUE)</f>
        <v>117.39462614059448</v>
      </c>
      <c r="M57" s="119">
        <f ca="1">[1]!Olekuvorrand($C57,$T58,$Y58,$X58,$W58,M$4,[1]!juhe($T58,6),TRUE)</f>
        <v>115.4511570930481</v>
      </c>
      <c r="N57" s="119">
        <f ca="1">[1]!Olekuvorrand($C57,$T58,$Y58,$X58,$W58,N$4,[1]!juhe($T58,6),TRUE)</f>
        <v>113.58505487442017</v>
      </c>
      <c r="O57" s="207">
        <f ca="1">U58</f>
        <v>121.53154611587524</v>
      </c>
      <c r="Q57" s="141" t="s">
        <v>208</v>
      </c>
      <c r="R57"/>
      <c r="S57"/>
      <c r="T57"/>
      <c r="U57"/>
      <c r="V57"/>
      <c r="W57"/>
      <c r="X57"/>
      <c r="Y57"/>
      <c r="Z57"/>
    </row>
    <row r="58" spans="1:29" s="114" customFormat="1" x14ac:dyDescent="0.2">
      <c r="A58" s="187"/>
      <c r="B58" s="188"/>
      <c r="C58" s="189"/>
      <c r="D58" s="118" t="s">
        <v>32</v>
      </c>
      <c r="E58" s="119">
        <f ca="1">E57*[1]!juhe($T58,2)/10</f>
        <v>896.26760184764862</v>
      </c>
      <c r="F58" s="119">
        <f ca="1">F57*[1]!juhe($T58,2)/10</f>
        <v>878.65472853183746</v>
      </c>
      <c r="G58" s="119">
        <f ca="1">G57*[1]!juhe($T58,2)/10</f>
        <v>861.8105536699295</v>
      </c>
      <c r="H58" s="119">
        <f ca="1">H57*[1]!juhe($T58,2)/10</f>
        <v>845.69188296794891</v>
      </c>
      <c r="I58" s="119">
        <f ca="1">I57*[1]!juhe($T58,2)/10</f>
        <v>830.25952160358429</v>
      </c>
      <c r="J58" s="119">
        <f ca="1">J57*[1]!juhe($T58,2)/10</f>
        <v>815.47667443752277</v>
      </c>
      <c r="K58" s="119">
        <f ca="1">K57*[1]!juhe($T58,2)/10</f>
        <v>801.30734622478474</v>
      </c>
      <c r="L58" s="119">
        <f ca="1">L57*[1]!juhe($T58,2)/10</f>
        <v>787.71794140338886</v>
      </c>
      <c r="M58" s="119">
        <f ca="1">M57*[1]!juhe($T58,2)/10</f>
        <v>774.67726409435261</v>
      </c>
      <c r="N58" s="119">
        <f ca="1">N57*[1]!juhe($T58,2)/10</f>
        <v>762.1557182073592</v>
      </c>
      <c r="O58" s="207"/>
      <c r="Q58" s="141" t="s">
        <v>206</v>
      </c>
      <c r="R58" s="129" t="str">
        <f t="shared" ref="R58:Y58" ca="1" si="17">INDIRECT("'"&amp;$S$1&amp;"'!"&amp;$Q58&amp;R$4)</f>
        <v>128Y- 133Y</v>
      </c>
      <c r="S58" s="129">
        <f t="shared" ca="1" si="17"/>
        <v>408.37030439381806</v>
      </c>
      <c r="T58" s="129" t="str">
        <f t="shared" ca="1" si="17"/>
        <v>9,9-S1A - 19</v>
      </c>
      <c r="U58" s="129">
        <f t="shared" ca="1" si="17"/>
        <v>121.53154611587524</v>
      </c>
      <c r="V58" s="129">
        <f t="shared" ca="1" si="17"/>
        <v>6</v>
      </c>
      <c r="W58" s="129">
        <f t="shared" ca="1" si="17"/>
        <v>0.27750802103631628</v>
      </c>
      <c r="X58" s="129">
        <f t="shared" ca="1" si="17"/>
        <v>-5</v>
      </c>
      <c r="Y58" s="129">
        <f t="shared" ca="1" si="17"/>
        <v>425.90099573135376</v>
      </c>
      <c r="Z58">
        <v>1</v>
      </c>
    </row>
    <row r="59" spans="1:29" s="114" customFormat="1" x14ac:dyDescent="0.2">
      <c r="A59" s="187"/>
      <c r="B59" s="188"/>
      <c r="C59" s="189"/>
      <c r="D59" s="118" t="s">
        <v>31</v>
      </c>
      <c r="E59" s="120">
        <f ca="1">[1]!ripe([1]!Olekuvorrand($C57,$T58,$Y58,$X58,$W58,E$4,[1]!juhe($T58,6),TRUE),[1]!juhe($T58,6),$C57,0)</f>
        <v>8.3494318633664708</v>
      </c>
      <c r="F59" s="120">
        <f ca="1">[1]!ripe([1]!Olekuvorrand($C57,$T58,$Y58,$X58,$W58,F$4,[1]!juhe($T58,6),TRUE),[1]!juhe($T58,6),$C57,0)</f>
        <v>8.5167984988527365</v>
      </c>
      <c r="G59" s="120">
        <f ca="1">[1]!ripe([1]!Olekuvorrand($C57,$T58,$Y58,$X58,$W58,G$4,[1]!juhe($T58,6),TRUE),[1]!juhe($T58,6),$C57,0)</f>
        <v>8.683260191120727</v>
      </c>
      <c r="H59" s="120">
        <f ca="1">[1]!ripe([1]!Olekuvorrand($C57,$T58,$Y58,$X58,$W58,H$4,[1]!juhe($T58,6),TRUE),[1]!juhe($T58,6),$C57,0)</f>
        <v>8.848760906522056</v>
      </c>
      <c r="I59" s="120">
        <f ca="1">[1]!ripe([1]!Olekuvorrand($C57,$T58,$Y58,$X58,$W58,I$4,[1]!juhe($T58,6),TRUE),[1]!juhe($T58,6),$C57,0)</f>
        <v>9.0132363173822174</v>
      </c>
      <c r="J59" s="120">
        <f ca="1">[1]!ripe([1]!Olekuvorrand($C57,$T58,$Y58,$X58,$W58,J$4,[1]!juhe($T58,6),TRUE),[1]!juhe($T58,6),$C57,0)</f>
        <v>9.1766270054645691</v>
      </c>
      <c r="K59" s="120">
        <f ca="1">[1]!ripe([1]!Olekuvorrand($C57,$T58,$Y58,$X58,$W58,K$4,[1]!juhe($T58,6),TRUE),[1]!juhe($T58,6),$C57,0)</f>
        <v>9.3388951295980878</v>
      </c>
      <c r="L59" s="120">
        <f ca="1">[1]!ripe([1]!Olekuvorrand($C57,$T58,$Y58,$X58,$W58,L$4,[1]!juhe($T58,6),TRUE),[1]!juhe($T58,6),$C57,0)</f>
        <v>9.5000061311763542</v>
      </c>
      <c r="M59" s="120">
        <f ca="1">[1]!ripe([1]!Olekuvorrand($C57,$T58,$Y58,$X58,$W58,M$4,[1]!juhe($T58,6),TRUE),[1]!juhe($T58,6),$C57,0)</f>
        <v>9.6599262942333777</v>
      </c>
      <c r="N59" s="120">
        <f ca="1">[1]!ripe([1]!Olekuvorrand($C57,$T58,$Y58,$X58,$W58,N$4,[1]!juhe($T58,6),TRUE),[1]!juhe($T58,6),$C57,0)</f>
        <v>9.8186303588603749</v>
      </c>
      <c r="O59" s="207"/>
      <c r="Q59" s="141" t="s">
        <v>206</v>
      </c>
      <c r="R59"/>
      <c r="S59"/>
      <c r="T59"/>
      <c r="U59"/>
      <c r="V59"/>
      <c r="W59"/>
      <c r="X59"/>
      <c r="Y59"/>
      <c r="Z59"/>
    </row>
    <row r="60" spans="1:29" s="114" customFormat="1" x14ac:dyDescent="0.2">
      <c r="A60" s="187"/>
      <c r="B60" s="188"/>
      <c r="C60" s="189"/>
      <c r="D60" s="118" t="s">
        <v>195</v>
      </c>
      <c r="E60" s="120">
        <f ca="1">[1]!ripe([1]!Olekuvorrand($C57,$T58,$Y58,$X58,$W58,E$4,[1]!juhe($T58,6)),[1]!juhe($T58,6),$C57,0)</f>
        <v>8.3494318633664708</v>
      </c>
      <c r="F60" s="120">
        <f ca="1">[1]!ripe([1]!Olekuvorrand($C57,$T58,$Y58,$X58,$W58,F$4,[1]!juhe($T58,6)),[1]!juhe($T58,6),$C57,0)</f>
        <v>8.5167984988527365</v>
      </c>
      <c r="G60" s="120">
        <f ca="1">[1]!ripe([1]!Olekuvorrand($C57,$T58,$Y58,$X58,$W58,G$4,[1]!juhe($T58,6)),[1]!juhe($T58,6),$C57,0)</f>
        <v>8.683260191120727</v>
      </c>
      <c r="H60" s="120">
        <f ca="1">[1]!ripe([1]!Olekuvorrand($C57,$T58,$Y58,$X58,$W58,H$4,[1]!juhe($T58,6)),[1]!juhe($T58,6),$C57,0)</f>
        <v>8.848760906522056</v>
      </c>
      <c r="I60" s="120">
        <f ca="1">[1]!ripe([1]!Olekuvorrand($C57,$T58,$Y58,$X58,$W58,I$4,[1]!juhe($T58,6)),[1]!juhe($T58,6),$C57,0)</f>
        <v>9.0132363173822174</v>
      </c>
      <c r="J60" s="120">
        <f ca="1">[1]!ripe([1]!Olekuvorrand($C57,$T58,$Y58,$X58,$W58,J$4,[1]!juhe($T58,6)),[1]!juhe($T58,6),$C57,0)</f>
        <v>9.1766270054645691</v>
      </c>
      <c r="K60" s="120">
        <f ca="1">[1]!ripe([1]!Olekuvorrand($C57,$T58,$Y58,$X58,$W58,K$4,[1]!juhe($T58,6)),[1]!juhe($T58,6),$C57,0)</f>
        <v>9.3388951295980878</v>
      </c>
      <c r="L60" s="120">
        <f ca="1">[1]!ripe([1]!Olekuvorrand($C57,$T58,$Y58,$X58,$W58,L$4,[1]!juhe($T58,6)),[1]!juhe($T58,6),$C57,0)</f>
        <v>9.5000061311763542</v>
      </c>
      <c r="M60" s="120">
        <f ca="1">[1]!ripe([1]!Olekuvorrand($C57,$T58,$Y58,$X58,$W58,M$4,[1]!juhe($T58,6)),[1]!juhe($T58,6),$C57,0)</f>
        <v>9.6599262942333777</v>
      </c>
      <c r="N60" s="120">
        <f ca="1">[1]!ripe([1]!Olekuvorrand($C57,$T58,$Y58,$X58,$W58,N$4,[1]!juhe($T58,6)),[1]!juhe($T58,6),$C57,0)</f>
        <v>9.8186303588603749</v>
      </c>
      <c r="O60" s="207"/>
      <c r="Q60" s="141" t="s">
        <v>206</v>
      </c>
      <c r="R60"/>
      <c r="S60"/>
      <c r="T60"/>
      <c r="U60"/>
      <c r="V60"/>
      <c r="W60"/>
      <c r="X60"/>
      <c r="Y60"/>
      <c r="Z60"/>
      <c r="AC60" s="121"/>
    </row>
    <row r="61" spans="1:29" x14ac:dyDescent="0.2">
      <c r="A61" s="105"/>
      <c r="B61" s="113" t="str">
        <f ca="1">INDIRECT("Visangud!C" &amp; R61)</f>
        <v>128Y-129Y</v>
      </c>
      <c r="C61" s="106">
        <f ca="1">INDIRECT("Visangud!"&amp;Q61&amp;R61)</f>
        <v>358.28273639717588</v>
      </c>
      <c r="D61" s="10" t="s">
        <v>31</v>
      </c>
      <c r="E61" s="12">
        <f ca="1">[1]!ripe(E$57,[1]!juhe($T$8,6),$C61,0)</f>
        <v>6.4268828305441552</v>
      </c>
      <c r="F61" s="12">
        <f ca="1">[1]!ripe(F$57,[1]!juhe($T$8,6),$C61,0)</f>
        <v>6.5557114471033326</v>
      </c>
      <c r="G61" s="12">
        <f ca="1">[1]!ripe(G$57,[1]!juhe($T$8,6),$C61,0)</f>
        <v>6.6838434936290856</v>
      </c>
      <c r="H61" s="12">
        <f ca="1">[1]!ripe(H$57,[1]!juhe($T$8,6),$C61,0)</f>
        <v>6.8112358388403091</v>
      </c>
      <c r="I61" s="12">
        <f ca="1">[1]!ripe(I$57,[1]!juhe($T$8,6),$C61,0)</f>
        <v>6.9378389672210306</v>
      </c>
      <c r="J61" s="12">
        <f ca="1">[1]!ripe(J$57,[1]!juhe($T$8,6),$C61,0)</f>
        <v>7.0636071422407705</v>
      </c>
      <c r="K61" s="12">
        <f ca="1">[1]!ripe(K$57,[1]!juhe($T$8,6),$C61,0)</f>
        <v>7.1885112360766623</v>
      </c>
      <c r="L61" s="12">
        <f ca="1">[1]!ripe(L$57,[1]!juhe($T$8,6),$C61,0)</f>
        <v>7.3125246476236425</v>
      </c>
      <c r="M61" s="12">
        <f ca="1">[1]!ripe(M$57,[1]!juhe($T$8,6),$C61,0)</f>
        <v>7.435621424389792</v>
      </c>
      <c r="N61" s="12">
        <f ca="1">[1]!ripe(N$57,[1]!juhe($T$8,6),$C61,0)</f>
        <v>7.5577821228397077</v>
      </c>
      <c r="O61" s="124"/>
      <c r="Q61" s="141" t="s">
        <v>206</v>
      </c>
      <c r="R61">
        <v>40</v>
      </c>
      <c r="S61"/>
      <c r="T61"/>
      <c r="U61"/>
      <c r="V61"/>
      <c r="W61"/>
      <c r="X61"/>
      <c r="Y61"/>
      <c r="Z61"/>
      <c r="AC61" s="11"/>
    </row>
    <row r="62" spans="1:29" x14ac:dyDescent="0.2">
      <c r="A62" s="108"/>
      <c r="B62" s="113" t="str">
        <f t="shared" ref="B62:B65" ca="1" si="18">INDIRECT("Visangud!C" &amp; R62)</f>
        <v>129Y-130Y</v>
      </c>
      <c r="C62" s="106">
        <f t="shared" ref="C62:C65" ca="1" si="19">INDIRECT("Visangud!"&amp;Q62&amp;R62)</f>
        <v>430.99081475115867</v>
      </c>
      <c r="D62" s="10" t="s">
        <v>31</v>
      </c>
      <c r="E62" s="12">
        <f ca="1">[1]!ripe(E$57,[1]!juhe($T$8,6),$C62,0)</f>
        <v>9.3000363602135767</v>
      </c>
      <c r="F62" s="12">
        <f ca="1">[1]!ripe(F$57,[1]!juhe($T$8,6),$C62,0)</f>
        <v>9.4864581217154775</v>
      </c>
      <c r="G62" s="12">
        <f ca="1">[1]!ripe(G$57,[1]!juhe($T$8,6),$C62,0)</f>
        <v>9.6718719098640289</v>
      </c>
      <c r="H62" s="12">
        <f ca="1">[1]!ripe(H$57,[1]!juhe($T$8,6),$C62,0)</f>
        <v>9.8562153114344841</v>
      </c>
      <c r="I62" s="12">
        <f ca="1">[1]!ripe(I$57,[1]!juhe($T$8,6),$C62,0)</f>
        <v>10.039416674879568</v>
      </c>
      <c r="J62" s="12">
        <f ca="1">[1]!ripe(J$57,[1]!juhe($T$8,6),$C62,0)</f>
        <v>10.221409817042121</v>
      </c>
      <c r="K62" s="12">
        <f ca="1">[1]!ripe(K$57,[1]!juhe($T$8,6),$C62,0)</f>
        <v>10.402152588435538</v>
      </c>
      <c r="L62" s="12">
        <f ca="1">[1]!ripe(L$57,[1]!juhe($T$8,6),$C62,0)</f>
        <v>10.581606495866335</v>
      </c>
      <c r="M62" s="12">
        <f ca="1">[1]!ripe(M$57,[1]!juhe($T$8,6),$C62,0)</f>
        <v>10.759733984718244</v>
      </c>
      <c r="N62" s="12">
        <f ca="1">[1]!ripe(N$57,[1]!juhe($T$8,6),$C62,0)</f>
        <v>10.936506919176287</v>
      </c>
      <c r="O62" s="125"/>
      <c r="Q62" s="141" t="s">
        <v>206</v>
      </c>
      <c r="R62">
        <v>41</v>
      </c>
      <c r="S62"/>
      <c r="T62"/>
      <c r="U62"/>
      <c r="V62"/>
      <c r="W62"/>
      <c r="X62"/>
      <c r="Y62"/>
      <c r="Z62"/>
    </row>
    <row r="63" spans="1:29" x14ac:dyDescent="0.2">
      <c r="A63" s="108"/>
      <c r="B63" s="113" t="str">
        <f t="shared" ca="1" si="18"/>
        <v>130Y-131Y</v>
      </c>
      <c r="C63" s="106">
        <f t="shared" ca="1" si="19"/>
        <v>417.88582567503056</v>
      </c>
      <c r="D63" s="10" t="s">
        <v>31</v>
      </c>
      <c r="E63" s="12">
        <f ca="1">[1]!ripe(E$57,[1]!juhe($T$8,6),$C63,0)</f>
        <v>8.7430688483905588</v>
      </c>
      <c r="F63" s="12">
        <f ca="1">[1]!ripe(F$57,[1]!juhe($T$8,6),$C63,0)</f>
        <v>8.9183260444400521</v>
      </c>
      <c r="G63" s="12">
        <f ca="1">[1]!ripe(G$57,[1]!juhe($T$8,6),$C63,0)</f>
        <v>9.092635633395945</v>
      </c>
      <c r="H63" s="12">
        <f ca="1">[1]!ripe(H$57,[1]!juhe($T$8,6),$C63,0)</f>
        <v>9.265938939883231</v>
      </c>
      <c r="I63" s="12">
        <f ca="1">[1]!ripe(I$57,[1]!juhe($T$8,6),$C63,0)</f>
        <v>9.4381686034759227</v>
      </c>
      <c r="J63" s="12">
        <f ca="1">[1]!ripe(J$57,[1]!juhe($T$8,6),$C63,0)</f>
        <v>9.6092624046431236</v>
      </c>
      <c r="K63" s="12">
        <f ca="1">[1]!ripe(K$57,[1]!juhe($T$8,6),$C63,0)</f>
        <v>9.7791807181781127</v>
      </c>
      <c r="L63" s="12">
        <f ca="1">[1]!ripe(L$57,[1]!juhe($T$8,6),$C63,0)</f>
        <v>9.9478873561964765</v>
      </c>
      <c r="M63" s="12">
        <f ca="1">[1]!ripe(M$57,[1]!juhe($T$8,6),$C63,0)</f>
        <v>10.115347013180806</v>
      </c>
      <c r="N63" s="12">
        <f ca="1">[1]!ripe(N$57,[1]!juhe($T$8,6),$C63,0)</f>
        <v>10.281533238334791</v>
      </c>
      <c r="O63" s="125"/>
      <c r="Q63" s="141" t="s">
        <v>206</v>
      </c>
      <c r="R63">
        <v>42</v>
      </c>
      <c r="S63"/>
      <c r="T63"/>
      <c r="U63"/>
      <c r="V63"/>
      <c r="W63"/>
      <c r="X63"/>
      <c r="Y63"/>
      <c r="Z63"/>
    </row>
    <row r="64" spans="1:29" x14ac:dyDescent="0.2">
      <c r="A64" s="108"/>
      <c r="B64" s="113" t="str">
        <f t="shared" ca="1" si="18"/>
        <v>131Y-132Y</v>
      </c>
      <c r="C64" s="106">
        <f t="shared" ca="1" si="19"/>
        <v>450.42386359941628</v>
      </c>
      <c r="D64" s="10" t="s">
        <v>31</v>
      </c>
      <c r="E64" s="12">
        <f ca="1">[1]!ripe(E$57,[1]!juhe($T$8,6),$C64,0)</f>
        <v>10.157606870431662</v>
      </c>
      <c r="F64" s="12">
        <f ca="1">[1]!ripe(F$57,[1]!juhe($T$8,6),$C64,0)</f>
        <v>10.361218866351448</v>
      </c>
      <c r="G64" s="12">
        <f ca="1">[1]!ripe(G$57,[1]!juhe($T$8,6),$C64,0)</f>
        <v>10.563729942160537</v>
      </c>
      <c r="H64" s="12">
        <f ca="1">[1]!ripe(H$57,[1]!juhe($T$8,6),$C64,0)</f>
        <v>10.765071929415713</v>
      </c>
      <c r="I64" s="12">
        <f ca="1">[1]!ripe(I$57,[1]!juhe($T$8,6),$C64,0)</f>
        <v>10.965166569471453</v>
      </c>
      <c r="J64" s="12">
        <f ca="1">[1]!ripe(J$57,[1]!juhe($T$8,6),$C64,0)</f>
        <v>11.163941576320925</v>
      </c>
      <c r="K64" s="12">
        <f ca="1">[1]!ripe(K$57,[1]!juhe($T$8,6),$C64,0)</f>
        <v>11.361350913809201</v>
      </c>
      <c r="L64" s="12">
        <f ca="1">[1]!ripe(L$57,[1]!juhe($T$8,6),$C64,0)</f>
        <v>11.557352539226825</v>
      </c>
      <c r="M64" s="12">
        <f ca="1">[1]!ripe(M$57,[1]!juhe($T$8,6),$C64,0)</f>
        <v>11.751905434989196</v>
      </c>
      <c r="N64" s="12">
        <f ca="1">[1]!ripe(N$57,[1]!juhe($T$8,6),$C64,0)</f>
        <v>11.944978870835005</v>
      </c>
      <c r="O64" s="125"/>
      <c r="Q64" s="141" t="s">
        <v>206</v>
      </c>
      <c r="R64">
        <v>43</v>
      </c>
      <c r="S64"/>
      <c r="T64"/>
      <c r="U64"/>
      <c r="V64"/>
      <c r="W64"/>
      <c r="X64"/>
      <c r="Y64"/>
      <c r="Z64"/>
    </row>
    <row r="65" spans="1:29" x14ac:dyDescent="0.2">
      <c r="A65" s="108"/>
      <c r="B65" s="113" t="str">
        <f t="shared" ca="1" si="18"/>
        <v>132Y-133Y</v>
      </c>
      <c r="C65" s="106">
        <f t="shared" ca="1" si="19"/>
        <v>357.27048604651083</v>
      </c>
      <c r="D65" s="10" t="s">
        <v>31</v>
      </c>
      <c r="E65" s="12">
        <f ca="1">[1]!ripe(E$57,[1]!juhe($T$8,6),$C65,0)</f>
        <v>6.3906185976576335</v>
      </c>
      <c r="F65" s="12">
        <f ca="1">[1]!ripe(F$57,[1]!juhe($T$8,6),$C65,0)</f>
        <v>6.5187202877928296</v>
      </c>
      <c r="G65" s="12">
        <f ca="1">[1]!ripe(G$57,[1]!juhe($T$8,6),$C65,0)</f>
        <v>6.6461293383502493</v>
      </c>
      <c r="H65" s="12">
        <f ca="1">[1]!ripe(H$57,[1]!juhe($T$8,6),$C65,0)</f>
        <v>6.7728028614207076</v>
      </c>
      <c r="I65" s="12">
        <f ca="1">[1]!ripe(I$57,[1]!juhe($T$8,6),$C65,0)</f>
        <v>6.8986916208837412</v>
      </c>
      <c r="J65" s="12">
        <f ca="1">[1]!ripe(J$57,[1]!juhe($T$8,6),$C65,0)</f>
        <v>7.0237501382811338</v>
      </c>
      <c r="K65" s="12">
        <f ca="1">[1]!ripe(K$57,[1]!juhe($T$8,6),$C65,0)</f>
        <v>7.1479494501462364</v>
      </c>
      <c r="L65" s="12">
        <f ca="1">[1]!ripe(L$57,[1]!juhe($T$8,6),$C65,0)</f>
        <v>7.2712631054729817</v>
      </c>
      <c r="M65" s="12">
        <f ca="1">[1]!ripe(M$57,[1]!juhe($T$8,6),$C65,0)</f>
        <v>7.3936652982085942</v>
      </c>
      <c r="N65" s="12">
        <f ca="1">[1]!ripe(N$57,[1]!juhe($T$8,6),$C65,0)</f>
        <v>7.5151366945294722</v>
      </c>
      <c r="O65" s="125"/>
      <c r="Q65" s="141" t="s">
        <v>206</v>
      </c>
      <c r="R65">
        <v>44</v>
      </c>
      <c r="S65"/>
      <c r="T65"/>
      <c r="U65"/>
      <c r="V65"/>
      <c r="W65"/>
      <c r="X65"/>
      <c r="Y65"/>
      <c r="Z65"/>
    </row>
    <row r="66" spans="1:29" s="114" customFormat="1" hidden="1" x14ac:dyDescent="0.2">
      <c r="A66" s="187">
        <v>8</v>
      </c>
      <c r="B66" s="188" t="str">
        <f ca="1">R67</f>
        <v>133Y- 137Y</v>
      </c>
      <c r="C66" s="189">
        <f ca="1">S67</f>
        <v>469.49775693170682</v>
      </c>
      <c r="D66" s="118" t="s">
        <v>130</v>
      </c>
      <c r="E66" s="119">
        <f ca="1">[1]!Olekuvorrand($C66,$T67,$Y67,$X67,$W67,E$4,[1]!juhe($T67,6),TRUE)</f>
        <v>114.54683542251587</v>
      </c>
      <c r="F66" s="119">
        <f ca="1">[1]!Olekuvorrand($C66,$T67,$Y67,$X67,$W67,F$4,[1]!juhe($T67,6),TRUE)</f>
        <v>113.0947470664978</v>
      </c>
      <c r="G66" s="119">
        <f ca="1">[1]!Olekuvorrand($C66,$T67,$Y67,$X67,$W67,G$4,[1]!juhe($T67,6),TRUE)</f>
        <v>111.68950796127319</v>
      </c>
      <c r="H66" s="119">
        <f ca="1">[1]!Olekuvorrand($C66,$T67,$Y67,$X67,$W67,H$4,[1]!juhe($T67,6),TRUE)</f>
        <v>110.32897233963013</v>
      </c>
      <c r="I66" s="119">
        <f ca="1">[1]!Olekuvorrand($C66,$T67,$Y67,$X67,$W67,I$4,[1]!juhe($T67,6),TRUE)</f>
        <v>109.01099443435669</v>
      </c>
      <c r="J66" s="119">
        <f ca="1">[1]!Olekuvorrand($C66,$T67,$Y67,$X67,$W67,J$4,[1]!juhe($T67,6),TRUE)</f>
        <v>107.73366689682007</v>
      </c>
      <c r="K66" s="119">
        <f ca="1">[1]!Olekuvorrand($C66,$T67,$Y67,$X67,$W67,K$4,[1]!juhe($T67,6),TRUE)</f>
        <v>106.495201587677</v>
      </c>
      <c r="L66" s="119">
        <f ca="1">[1]!Olekuvorrand($C66,$T67,$Y67,$X67,$W67,L$4,[1]!juhe($T67,6),TRUE)</f>
        <v>105.29381036758423</v>
      </c>
      <c r="M66" s="119">
        <f ca="1">[1]!Olekuvorrand($C66,$T67,$Y67,$X67,$W67,M$4,[1]!juhe($T67,6),TRUE)</f>
        <v>104.12782430648804</v>
      </c>
      <c r="N66" s="119">
        <f ca="1">[1]!Olekuvorrand($C66,$T67,$Y67,$X67,$W67,N$4,[1]!juhe($T67,6),TRUE)</f>
        <v>102.99581289291382</v>
      </c>
      <c r="O66" s="207">
        <f ca="1">U67</f>
        <v>107.73366689682007</v>
      </c>
      <c r="Q66" s="141" t="s">
        <v>216</v>
      </c>
      <c r="R66"/>
      <c r="S66"/>
      <c r="T66"/>
      <c r="U66"/>
      <c r="V66"/>
      <c r="W66"/>
      <c r="X66"/>
      <c r="Y66"/>
      <c r="Z66"/>
    </row>
    <row r="67" spans="1:29" s="114" customFormat="1" x14ac:dyDescent="0.2">
      <c r="A67" s="187"/>
      <c r="B67" s="188"/>
      <c r="C67" s="189"/>
      <c r="D67" s="118" t="s">
        <v>32</v>
      </c>
      <c r="E67" s="119">
        <f ca="1">E66*[1]!juhe($T67,2)/10</f>
        <v>768.60926568508137</v>
      </c>
      <c r="F67" s="119">
        <f ca="1">F66*[1]!juhe($T67,2)/10</f>
        <v>758.86575281620014</v>
      </c>
      <c r="G67" s="119">
        <f ca="1">G66*[1]!juhe($T67,2)/10</f>
        <v>749.43659842014301</v>
      </c>
      <c r="H67" s="119">
        <f ca="1">H66*[1]!juhe($T67,2)/10</f>
        <v>740.30740439891804</v>
      </c>
      <c r="I67" s="119">
        <f ca="1">I66*[1]!juhe($T67,2)/10</f>
        <v>731.46377265453327</v>
      </c>
      <c r="J67" s="119">
        <f ca="1">J66*[1]!juhe($T67,2)/10</f>
        <v>722.89290487766255</v>
      </c>
      <c r="K67" s="119">
        <f ca="1">K66*[1]!juhe($T67,2)/10</f>
        <v>714.58280265331257</v>
      </c>
      <c r="L67" s="119">
        <f ca="1">L66*[1]!juhe($T67,2)/10</f>
        <v>706.52146756649006</v>
      </c>
      <c r="M67" s="119">
        <f ca="1">M66*[1]!juhe($T67,2)/10</f>
        <v>698.69770109653462</v>
      </c>
      <c r="N67" s="119">
        <f ca="1">N66*[1]!juhe($T67,2)/10</f>
        <v>691.10190451145161</v>
      </c>
      <c r="O67" s="207"/>
      <c r="Q67" s="141" t="s">
        <v>207</v>
      </c>
      <c r="R67" s="129" t="str">
        <f t="shared" ref="R67:Y67" ca="1" si="20">INDIRECT("'"&amp;$S$1&amp;"'!"&amp;$Q67&amp;R$4)</f>
        <v>133Y- 137Y</v>
      </c>
      <c r="S67" s="129">
        <f t="shared" ca="1" si="20"/>
        <v>469.49775693170682</v>
      </c>
      <c r="T67" s="129" t="str">
        <f t="shared" ca="1" si="20"/>
        <v>9,9-S1A - 19</v>
      </c>
      <c r="U67" s="129">
        <f t="shared" ca="1" si="20"/>
        <v>107.73366689682007</v>
      </c>
      <c r="V67" s="129">
        <f t="shared" ca="1" si="20"/>
        <v>6</v>
      </c>
      <c r="W67" s="129">
        <f t="shared" ca="1" si="20"/>
        <v>0.2739602835877486</v>
      </c>
      <c r="X67" s="129">
        <f t="shared" ca="1" si="20"/>
        <v>-5</v>
      </c>
      <c r="Y67" s="129">
        <f t="shared" ca="1" si="20"/>
        <v>419.77888345718384</v>
      </c>
      <c r="Z67">
        <v>1</v>
      </c>
    </row>
    <row r="68" spans="1:29" s="114" customFormat="1" x14ac:dyDescent="0.2">
      <c r="A68" s="187"/>
      <c r="B68" s="188"/>
      <c r="C68" s="189"/>
      <c r="D68" s="118" t="s">
        <v>31</v>
      </c>
      <c r="E68" s="120">
        <f ca="1">[1]!ripe([1]!Olekuvorrand($C66,$T67,$Y67,$X67,$W67,E$4,[1]!juhe($T67,6),TRUE),[1]!juhe($T67,6),$C66,0)</f>
        <v>12.869087181533343</v>
      </c>
      <c r="F68" s="120">
        <f ca="1">[1]!ripe([1]!Olekuvorrand($C66,$T67,$Y67,$X67,$W67,F$4,[1]!juhe($T67,6),TRUE),[1]!juhe($T67,6),$C66,0)</f>
        <v>13.034320776670155</v>
      </c>
      <c r="G68" s="120">
        <f ca="1">[1]!ripe([1]!Olekuvorrand($C66,$T67,$Y67,$X67,$W67,G$4,[1]!juhe($T67,6),TRUE),[1]!juhe($T67,6),$C66,0)</f>
        <v>13.198314132892742</v>
      </c>
      <c r="H68" s="120">
        <f ca="1">[1]!ripe([1]!Olekuvorrand($C66,$T67,$Y67,$X67,$W67,H$4,[1]!juhe($T67,6),TRUE),[1]!juhe($T67,6),$C66,0)</f>
        <v>13.361070806345284</v>
      </c>
      <c r="I68" s="120">
        <f ca="1">[1]!ripe([1]!Olekuvorrand($C66,$T67,$Y67,$X67,$W67,I$4,[1]!juhe($T67,6),TRUE),[1]!juhe($T67,6),$C66,0)</f>
        <v>13.522610440076091</v>
      </c>
      <c r="J68" s="120">
        <f ca="1">[1]!ripe([1]!Olekuvorrand($C66,$T67,$Y67,$X67,$W67,J$4,[1]!juhe($T67,6),TRUE),[1]!juhe($T67,6),$C66,0)</f>
        <v>13.682939176598465</v>
      </c>
      <c r="K68" s="120">
        <f ca="1">[1]!ripe([1]!Olekuvorrand($C66,$T67,$Y67,$X67,$W67,K$4,[1]!juhe($T67,6),TRUE),[1]!juhe($T67,6),$C66,0)</f>
        <v>13.842062266133915</v>
      </c>
      <c r="L68" s="120">
        <f ca="1">[1]!ripe([1]!Olekuvorrand($C66,$T67,$Y67,$X67,$W67,L$4,[1]!juhe($T67,6),TRUE),[1]!juhe($T67,6),$C66,0)</f>
        <v>13.999998729981655</v>
      </c>
      <c r="M68" s="120">
        <f ca="1">[1]!ripe([1]!Olekuvorrand($C66,$T67,$Y67,$X67,$W67,M$4,[1]!juhe($T67,6),TRUE),[1]!juhe($T67,6),$C66,0)</f>
        <v>14.156765698688076</v>
      </c>
      <c r="N68" s="120">
        <f ca="1">[1]!ripe([1]!Olekuvorrand($C66,$T67,$Y67,$X67,$W67,N$4,[1]!juhe($T67,6),TRUE),[1]!juhe($T67,6),$C66,0)</f>
        <v>14.312360570946359</v>
      </c>
      <c r="O68" s="207"/>
      <c r="Q68" s="141" t="s">
        <v>207</v>
      </c>
      <c r="R68"/>
      <c r="S68"/>
      <c r="T68"/>
      <c r="U68"/>
      <c r="V68"/>
      <c r="W68"/>
      <c r="X68"/>
      <c r="Y68"/>
      <c r="Z68"/>
    </row>
    <row r="69" spans="1:29" s="114" customFormat="1" x14ac:dyDescent="0.2">
      <c r="A69" s="187"/>
      <c r="B69" s="188"/>
      <c r="C69" s="189"/>
      <c r="D69" s="118" t="s">
        <v>195</v>
      </c>
      <c r="E69" s="120">
        <f ca="1">[1]!ripe([1]!Olekuvorrand($C66,$T67,$Y67,$X67,$W67,E$4,[1]!juhe($T67,6)),[1]!juhe($T67,6),$C66,0)</f>
        <v>12.869087181533343</v>
      </c>
      <c r="F69" s="120">
        <f ca="1">[1]!ripe([1]!Olekuvorrand($C66,$T67,$Y67,$X67,$W67,F$4,[1]!juhe($T67,6)),[1]!juhe($T67,6),$C66,0)</f>
        <v>13.034320776670155</v>
      </c>
      <c r="G69" s="120">
        <f ca="1">[1]!ripe([1]!Olekuvorrand($C66,$T67,$Y67,$X67,$W67,G$4,[1]!juhe($T67,6)),[1]!juhe($T67,6),$C66,0)</f>
        <v>13.198314132892742</v>
      </c>
      <c r="H69" s="120">
        <f ca="1">[1]!ripe([1]!Olekuvorrand($C66,$T67,$Y67,$X67,$W67,H$4,[1]!juhe($T67,6)),[1]!juhe($T67,6),$C66,0)</f>
        <v>13.361070806345284</v>
      </c>
      <c r="I69" s="120">
        <f ca="1">[1]!ripe([1]!Olekuvorrand($C66,$T67,$Y67,$X67,$W67,I$4,[1]!juhe($T67,6)),[1]!juhe($T67,6),$C66,0)</f>
        <v>13.522610440076091</v>
      </c>
      <c r="J69" s="120">
        <f ca="1">[1]!ripe([1]!Olekuvorrand($C66,$T67,$Y67,$X67,$W67,J$4,[1]!juhe($T67,6)),[1]!juhe($T67,6),$C66,0)</f>
        <v>13.682939176598465</v>
      </c>
      <c r="K69" s="120">
        <f ca="1">[1]!ripe([1]!Olekuvorrand($C66,$T67,$Y67,$X67,$W67,K$4,[1]!juhe($T67,6)),[1]!juhe($T67,6),$C66,0)</f>
        <v>13.842062266133915</v>
      </c>
      <c r="L69" s="120">
        <f ca="1">[1]!ripe([1]!Olekuvorrand($C66,$T67,$Y67,$X67,$W67,L$4,[1]!juhe($T67,6)),[1]!juhe($T67,6),$C66,0)</f>
        <v>13.999998729981655</v>
      </c>
      <c r="M69" s="120">
        <f ca="1">[1]!ripe([1]!Olekuvorrand($C66,$T67,$Y67,$X67,$W67,M$4,[1]!juhe($T67,6)),[1]!juhe($T67,6),$C66,0)</f>
        <v>14.156765698688076</v>
      </c>
      <c r="N69" s="120">
        <f ca="1">[1]!ripe([1]!Olekuvorrand($C66,$T67,$Y67,$X67,$W67,N$4,[1]!juhe($T67,6)),[1]!juhe($T67,6),$C66,0)</f>
        <v>14.312360570946359</v>
      </c>
      <c r="O69" s="207"/>
      <c r="Q69" s="141" t="s">
        <v>207</v>
      </c>
      <c r="R69"/>
      <c r="S69"/>
      <c r="T69"/>
      <c r="U69"/>
      <c r="V69"/>
      <c r="W69"/>
      <c r="X69"/>
      <c r="Y69"/>
      <c r="Z69"/>
      <c r="AC69" s="121"/>
    </row>
    <row r="70" spans="1:29" x14ac:dyDescent="0.2">
      <c r="A70" s="105"/>
      <c r="B70" s="113" t="str">
        <f ca="1">INDIRECT("Visangud!C" &amp; R70)</f>
        <v>133Y-134Y</v>
      </c>
      <c r="C70" s="106">
        <f ca="1">INDIRECT("Visangud!"&amp;Q70&amp;R70)</f>
        <v>474.33886125844168</v>
      </c>
      <c r="D70" s="10" t="s">
        <v>31</v>
      </c>
      <c r="E70" s="12">
        <f ca="1">[1]!ripe(E$66,[1]!juhe($T$8,6),$C70,0)</f>
        <v>13.135847952659242</v>
      </c>
      <c r="F70" s="12">
        <f ca="1">[1]!ripe(F$66,[1]!juhe($T$8,6),$C70,0)</f>
        <v>13.304506642414875</v>
      </c>
      <c r="G70" s="12">
        <f ca="1">[1]!ripe(G$66,[1]!juhe($T$8,6),$C70,0)</f>
        <v>13.471899384588335</v>
      </c>
      <c r="H70" s="12">
        <f ca="1">[1]!ripe(H$66,[1]!juhe($T$8,6),$C70,0)</f>
        <v>13.638029809038414</v>
      </c>
      <c r="I70" s="12">
        <f ca="1">[1]!ripe(I$66,[1]!juhe($T$8,6),$C70,0)</f>
        <v>13.802917965990298</v>
      </c>
      <c r="J70" s="12">
        <f ca="1">[1]!ripe(J$66,[1]!juhe($T$8,6),$C70,0)</f>
        <v>13.966570125284235</v>
      </c>
      <c r="K70" s="12">
        <f ca="1">[1]!ripe(K$66,[1]!juhe($T$8,6),$C70,0)</f>
        <v>14.128991645972544</v>
      </c>
      <c r="L70" s="12">
        <f ca="1">[1]!ripe(L$66,[1]!juhe($T$8,6),$C70,0)</f>
        <v>14.290201943643197</v>
      </c>
      <c r="M70" s="12">
        <f ca="1">[1]!ripe(M$66,[1]!juhe($T$8,6),$C70,0)</f>
        <v>14.450218503938306</v>
      </c>
      <c r="N70" s="12">
        <f ca="1">[1]!ripe(N$66,[1]!juhe($T$8,6),$C70,0)</f>
        <v>14.609038671629074</v>
      </c>
      <c r="O70" s="124"/>
      <c r="Q70" s="141" t="s">
        <v>207</v>
      </c>
      <c r="R70">
        <v>45</v>
      </c>
      <c r="S70"/>
      <c r="T70"/>
      <c r="U70"/>
      <c r="V70"/>
      <c r="W70"/>
      <c r="X70"/>
      <c r="Y70"/>
      <c r="Z70"/>
      <c r="AC70" s="11"/>
    </row>
    <row r="71" spans="1:29" x14ac:dyDescent="0.2">
      <c r="A71" s="108"/>
      <c r="B71" s="113" t="str">
        <f t="shared" ref="B71:B73" ca="1" si="21">INDIRECT("Visangud!C" &amp; R71)</f>
        <v>134Y-135Y</v>
      </c>
      <c r="C71" s="106">
        <f t="shared" ref="C71:C73" ca="1" si="22">INDIRECT("Visangud!"&amp;Q71&amp;R71)</f>
        <v>492.19301752466902</v>
      </c>
      <c r="D71" s="10" t="s">
        <v>31</v>
      </c>
      <c r="E71" s="12">
        <f ca="1">[1]!ripe(E$66,[1]!juhe($T$8,6),$C71,0)</f>
        <v>14.143327443252636</v>
      </c>
      <c r="F71" s="12">
        <f ca="1">[1]!ripe(F$66,[1]!juhe($T$8,6),$C71,0)</f>
        <v>14.32492174032129</v>
      </c>
      <c r="G71" s="12">
        <f ca="1">[1]!ripe(G$66,[1]!juhe($T$8,6),$C71,0)</f>
        <v>14.505152995487723</v>
      </c>
      <c r="H71" s="12">
        <f ca="1">[1]!ripe(H$66,[1]!juhe($T$8,6),$C71,0)</f>
        <v>14.684025117009831</v>
      </c>
      <c r="I71" s="12">
        <f ca="1">[1]!ripe(I$66,[1]!juhe($T$8,6),$C71,0)</f>
        <v>14.861559692903946</v>
      </c>
      <c r="J71" s="12">
        <f ca="1">[1]!ripe(J$66,[1]!juhe($T$8,6),$C71,0)</f>
        <v>15.037763473887946</v>
      </c>
      <c r="K71" s="12">
        <f ca="1">[1]!ripe(K$66,[1]!juhe($T$8,6),$C71,0)</f>
        <v>15.212642230037124</v>
      </c>
      <c r="L71" s="12">
        <f ca="1">[1]!ripe(L$66,[1]!juhe($T$8,6),$C71,0)</f>
        <v>15.386216866055859</v>
      </c>
      <c r="M71" s="12">
        <f ca="1">[1]!ripe(M$66,[1]!juhe($T$8,6),$C71,0)</f>
        <v>15.558506208681704</v>
      </c>
      <c r="N71" s="12">
        <f ca="1">[1]!ripe(N$66,[1]!juhe($T$8,6),$C71,0)</f>
        <v>15.729507399037907</v>
      </c>
      <c r="O71" s="125"/>
      <c r="Q71" s="141" t="s">
        <v>207</v>
      </c>
      <c r="R71">
        <v>46</v>
      </c>
      <c r="S71"/>
      <c r="T71"/>
      <c r="U71"/>
      <c r="V71"/>
      <c r="W71"/>
      <c r="X71"/>
      <c r="Y71"/>
      <c r="Z71"/>
    </row>
    <row r="72" spans="1:29" x14ac:dyDescent="0.2">
      <c r="A72" s="108"/>
      <c r="B72" s="113" t="str">
        <f t="shared" ca="1" si="21"/>
        <v>135Y-136Y</v>
      </c>
      <c r="C72" s="106">
        <f t="shared" ca="1" si="22"/>
        <v>492.2440911783234</v>
      </c>
      <c r="D72" s="10" t="s">
        <v>31</v>
      </c>
      <c r="E72" s="12">
        <f ca="1">[1]!ripe(E$66,[1]!juhe($T$8,6),$C72,0)</f>
        <v>14.146262831849981</v>
      </c>
      <c r="F72" s="12">
        <f ca="1">[1]!ripe(F$66,[1]!juhe($T$8,6),$C72,0)</f>
        <v>14.327894818057285</v>
      </c>
      <c r="G72" s="12">
        <f ca="1">[1]!ripe(G$66,[1]!juhe($T$8,6),$C72,0)</f>
        <v>14.508163479468706</v>
      </c>
      <c r="H72" s="12">
        <f ca="1">[1]!ripe(H$66,[1]!juhe($T$8,6),$C72,0)</f>
        <v>14.687072725153287</v>
      </c>
      <c r="I72" s="12">
        <f ca="1">[1]!ripe(I$66,[1]!juhe($T$8,6),$C72,0)</f>
        <v>14.86464414760786</v>
      </c>
      <c r="J72" s="12">
        <f ca="1">[1]!ripe(J$66,[1]!juhe($T$8,6),$C72,0)</f>
        <v>15.040884498951387</v>
      </c>
      <c r="K72" s="12">
        <f ca="1">[1]!ripe(K$66,[1]!juhe($T$8,6),$C72,0)</f>
        <v>15.215799550456717</v>
      </c>
      <c r="L72" s="12">
        <f ca="1">[1]!ripe(L$66,[1]!juhe($T$8,6),$C72,0)</f>
        <v>15.389410211166911</v>
      </c>
      <c r="M72" s="12">
        <f ca="1">[1]!ripe(M$66,[1]!juhe($T$8,6),$C72,0)</f>
        <v>15.561735311726935</v>
      </c>
      <c r="N72" s="12">
        <f ca="1">[1]!ripe(N$66,[1]!juhe($T$8,6),$C72,0)</f>
        <v>15.732771992666688</v>
      </c>
      <c r="O72" s="125"/>
      <c r="Q72" s="141" t="s">
        <v>207</v>
      </c>
      <c r="R72">
        <v>47</v>
      </c>
      <c r="S72"/>
      <c r="T72"/>
      <c r="U72"/>
      <c r="V72"/>
      <c r="W72"/>
      <c r="X72"/>
      <c r="Y72"/>
      <c r="Z72"/>
    </row>
    <row r="73" spans="1:29" x14ac:dyDescent="0.2">
      <c r="A73" s="108"/>
      <c r="B73" s="113" t="str">
        <f t="shared" ca="1" si="21"/>
        <v>136Y-137Y</v>
      </c>
      <c r="C73" s="106">
        <f t="shared" ca="1" si="22"/>
        <v>401.88288007822365</v>
      </c>
      <c r="D73" s="10" t="s">
        <v>31</v>
      </c>
      <c r="E73" s="12">
        <f ca="1">[1]!ripe(E$66,[1]!juhe($T$8,6),$C73,0)</f>
        <v>9.4293056042055117</v>
      </c>
      <c r="F73" s="12">
        <f ca="1">[1]!ripe(F$66,[1]!juhe($T$8,6),$C73,0)</f>
        <v>9.5503738697824438</v>
      </c>
      <c r="G73" s="12">
        <f ca="1">[1]!ripe(G$66,[1]!juhe($T$8,6),$C73,0)</f>
        <v>9.670533400219151</v>
      </c>
      <c r="H73" s="12">
        <f ca="1">[1]!ripe(H$66,[1]!juhe($T$8,6),$C73,0)</f>
        <v>9.7897868011371365</v>
      </c>
      <c r="I73" s="12">
        <f ca="1">[1]!ripe(I$66,[1]!juhe($T$8,6),$C73,0)</f>
        <v>9.9081484651893437</v>
      </c>
      <c r="J73" s="12">
        <f ca="1">[1]!ripe(J$66,[1]!juhe($T$8,6),$C73,0)</f>
        <v>10.025622893055134</v>
      </c>
      <c r="K73" s="12">
        <f ca="1">[1]!ripe(K$66,[1]!juhe($T$8,6),$C73,0)</f>
        <v>10.14221393162298</v>
      </c>
      <c r="L73" s="12">
        <f ca="1">[1]!ripe(L$66,[1]!juhe($T$8,6),$C73,0)</f>
        <v>10.257935517984199</v>
      </c>
      <c r="M73" s="12">
        <f ca="1">[1]!ripe(M$66,[1]!juhe($T$8,6),$C73,0)</f>
        <v>10.372800203857098</v>
      </c>
      <c r="N73" s="12">
        <f ca="1">[1]!ripe(N$66,[1]!juhe($T$8,6),$C73,0)</f>
        <v>10.486806083238815</v>
      </c>
      <c r="O73" s="125"/>
      <c r="Q73" s="141" t="s">
        <v>207</v>
      </c>
      <c r="R73">
        <v>48</v>
      </c>
      <c r="S73"/>
      <c r="T73"/>
      <c r="U73"/>
      <c r="V73"/>
      <c r="W73"/>
      <c r="X73"/>
      <c r="Y73"/>
      <c r="Z73"/>
    </row>
    <row r="74" spans="1:29" s="114" customFormat="1" hidden="1" x14ac:dyDescent="0.2">
      <c r="A74" s="187">
        <v>9</v>
      </c>
      <c r="B74" s="188" t="str">
        <f ca="1">R75</f>
        <v>137Y- 144Y</v>
      </c>
      <c r="C74" s="189">
        <f ca="1">S75</f>
        <v>408.56484089595034</v>
      </c>
      <c r="D74" s="118" t="s">
        <v>130</v>
      </c>
      <c r="E74" s="119">
        <f ca="1">[1]!Olekuvorrand($C74,$T75,$Y75,$X75,$W75,E$4,[1]!juhe($T75,6),TRUE)</f>
        <v>125.80686807632446</v>
      </c>
      <c r="F74" s="119">
        <f ca="1">[1]!Olekuvorrand($C74,$T75,$Y75,$X75,$W75,F$4,[1]!juhe($T75,6),TRUE)</f>
        <v>123.51840734481812</v>
      </c>
      <c r="G74" s="119">
        <f ca="1">[1]!Olekuvorrand($C74,$T75,$Y75,$X75,$W75,G$4,[1]!juhe($T75,6),TRUE)</f>
        <v>121.32591009140015</v>
      </c>
      <c r="H74" s="119">
        <f ca="1">[1]!Olekuvorrand($C74,$T75,$Y75,$X75,$W75,H$4,[1]!juhe($T75,6),TRUE)</f>
        <v>119.22425031661987</v>
      </c>
      <c r="I74" s="119">
        <f ca="1">[1]!Olekuvorrand($C74,$T75,$Y75,$X75,$W75,I$4,[1]!juhe($T75,6),TRUE)</f>
        <v>117.20854043960571</v>
      </c>
      <c r="J74" s="119">
        <f ca="1">[1]!Olekuvorrand($C74,$T75,$Y75,$X75,$W75,J$4,[1]!juhe($T75,6),TRUE)</f>
        <v>115.27401208877563</v>
      </c>
      <c r="K74" s="119">
        <f ca="1">[1]!Olekuvorrand($C74,$T75,$Y75,$X75,$W75,K$4,[1]!juhe($T75,6),TRUE)</f>
        <v>113.41625452041626</v>
      </c>
      <c r="L74" s="119">
        <f ca="1">[1]!Olekuvorrand($C74,$T75,$Y75,$X75,$W75,L$4,[1]!juhe($T75,6),TRUE)</f>
        <v>111.63121461868286</v>
      </c>
      <c r="M74" s="119">
        <f ca="1">[1]!Olekuvorrand($C74,$T75,$Y75,$X75,$W75,M$4,[1]!juhe($T75,6),TRUE)</f>
        <v>109.91483926773071</v>
      </c>
      <c r="N74" s="119">
        <f ca="1">[1]!Olekuvorrand($C74,$T75,$Y75,$X75,$W75,N$4,[1]!juhe($T75,6),TRUE)</f>
        <v>108.26355218887329</v>
      </c>
      <c r="O74" s="207">
        <f ca="1">U75</f>
        <v>115.27401208877563</v>
      </c>
      <c r="Q74" s="141" t="s">
        <v>207</v>
      </c>
      <c r="R74"/>
      <c r="S74"/>
      <c r="T74"/>
      <c r="U74"/>
      <c r="V74"/>
      <c r="W74"/>
      <c r="X74"/>
      <c r="Y74"/>
      <c r="Z74"/>
    </row>
    <row r="75" spans="1:29" s="114" customFormat="1" x14ac:dyDescent="0.2">
      <c r="A75" s="187"/>
      <c r="B75" s="188"/>
      <c r="C75" s="189"/>
      <c r="D75" s="118" t="s">
        <v>32</v>
      </c>
      <c r="E75" s="119">
        <f ca="1">E74*[1]!juhe($T75,2)/10</f>
        <v>844.16408479213715</v>
      </c>
      <c r="F75" s="119">
        <f ca="1">F74*[1]!juhe($T75,2)/10</f>
        <v>828.80851328372955</v>
      </c>
      <c r="G75" s="119">
        <f ca="1">G74*[1]!juhe($T75,2)/10</f>
        <v>814.09685671329487</v>
      </c>
      <c r="H75" s="119">
        <f ca="1">H74*[1]!juhe($T75,2)/10</f>
        <v>799.99471962451923</v>
      </c>
      <c r="I75" s="119">
        <f ca="1">I74*[1]!juhe($T75,2)/10</f>
        <v>786.46930634975422</v>
      </c>
      <c r="J75" s="119">
        <f ca="1">J74*[1]!juhe($T75,2)/10</f>
        <v>773.4886211156844</v>
      </c>
      <c r="K75" s="119">
        <f ca="1">K74*[1]!juhe($T75,2)/10</f>
        <v>761.02306783199299</v>
      </c>
      <c r="L75" s="119">
        <f ca="1">L74*[1]!juhe($T75,2)/10</f>
        <v>749.04545009136189</v>
      </c>
      <c r="M75" s="119">
        <f ca="1">M74*[1]!juhe($T75,2)/10</f>
        <v>737.52857148647297</v>
      </c>
      <c r="N75" s="119">
        <f ca="1">N74*[1]!juhe($T75,2)/10</f>
        <v>726.44843518733967</v>
      </c>
      <c r="O75" s="207"/>
      <c r="Q75" s="141" t="s">
        <v>208</v>
      </c>
      <c r="R75" s="129" t="str">
        <f t="shared" ref="R75:Y75" ca="1" si="23">INDIRECT("'"&amp;$S$1&amp;"'!"&amp;$Q75&amp;R$4)</f>
        <v>137Y- 144Y</v>
      </c>
      <c r="S75" s="129">
        <f t="shared" ca="1" si="23"/>
        <v>408.56484089595034</v>
      </c>
      <c r="T75" s="129" t="str">
        <f t="shared" ca="1" si="23"/>
        <v>9,9-S1A - 19</v>
      </c>
      <c r="U75" s="129">
        <f t="shared" ca="1" si="23"/>
        <v>115.27401208877563</v>
      </c>
      <c r="V75" s="129">
        <f t="shared" ca="1" si="23"/>
        <v>6</v>
      </c>
      <c r="W75" s="129">
        <f t="shared" ca="1" si="23"/>
        <v>0.27749589951072379</v>
      </c>
      <c r="X75" s="129">
        <f t="shared" ca="1" si="23"/>
        <v>-5</v>
      </c>
      <c r="Y75" s="129">
        <f t="shared" ca="1" si="23"/>
        <v>416.67383909225464</v>
      </c>
      <c r="Z75">
        <v>1</v>
      </c>
    </row>
    <row r="76" spans="1:29" s="114" customFormat="1" x14ac:dyDescent="0.2">
      <c r="A76" s="187"/>
      <c r="B76" s="188"/>
      <c r="C76" s="189"/>
      <c r="D76" s="118" t="s">
        <v>31</v>
      </c>
      <c r="E76" s="120">
        <f ca="1">[1]!ripe([1]!Olekuvorrand($C74,$T75,$Y75,$X75,$W75,E$4,[1]!juhe($T75,6),TRUE),[1]!juhe($T75,6),$C74,0)</f>
        <v>8.8732235962426493</v>
      </c>
      <c r="F76" s="120">
        <f ca="1">[1]!ripe([1]!Olekuvorrand($C74,$T75,$Y75,$X75,$W75,F$4,[1]!juhe($T75,6),TRUE),[1]!juhe($T75,6),$C74,0)</f>
        <v>9.0376203383831957</v>
      </c>
      <c r="G76" s="120">
        <f ca="1">[1]!ripe([1]!Olekuvorrand($C74,$T75,$Y75,$X75,$W75,G$4,[1]!juhe($T75,6),TRUE),[1]!juhe($T75,6),$C74,0)</f>
        <v>9.2009404219037894</v>
      </c>
      <c r="H76" s="120">
        <f ca="1">[1]!ripe([1]!Olekuvorrand($C74,$T75,$Y75,$X75,$W75,H$4,[1]!juhe($T75,6),TRUE),[1]!juhe($T75,6),$C74,0)</f>
        <v>9.3631326464177764</v>
      </c>
      <c r="I76" s="120">
        <f ca="1">[1]!ripe([1]!Olekuvorrand($C74,$T75,$Y75,$X75,$W75,I$4,[1]!juhe($T75,6),TRUE),[1]!juhe($T75,6),$C74,0)</f>
        <v>9.5241563984787696</v>
      </c>
      <c r="J76" s="120">
        <f ca="1">[1]!ripe([1]!Olekuvorrand($C74,$T75,$Y75,$X75,$W75,J$4,[1]!juhe($T75,6),TRUE),[1]!juhe($T75,6),$C74,0)</f>
        <v>9.6839907812397996</v>
      </c>
      <c r="K76" s="120">
        <f ca="1">[1]!ripe([1]!Olekuvorrand($C74,$T75,$Y75,$X75,$W75,K$4,[1]!juhe($T75,6),TRUE),[1]!juhe($T75,6),$C74,0)</f>
        <v>9.8426144921165513</v>
      </c>
      <c r="L76" s="120">
        <f ca="1">[1]!ripe([1]!Olekuvorrand($C74,$T75,$Y75,$X75,$W75,L$4,[1]!juhe($T75,6),TRUE),[1]!juhe($T75,6),$C74,0)</f>
        <v>10.000002904182319</v>
      </c>
      <c r="M76" s="120">
        <f ca="1">[1]!ripe([1]!Olekuvorrand($C74,$T75,$Y75,$X75,$W75,M$4,[1]!juhe($T75,6),TRUE),[1]!juhe($T75,6),$C74,0)</f>
        <v>10.156157965760318</v>
      </c>
      <c r="N76" s="120">
        <f ca="1">[1]!ripe([1]!Olekuvorrand($C74,$T75,$Y75,$X75,$W75,N$4,[1]!juhe($T75,6),TRUE),[1]!juhe($T75,6),$C74,0)</f>
        <v>10.311064507071999</v>
      </c>
      <c r="O76" s="207"/>
      <c r="Q76" s="141" t="s">
        <v>208</v>
      </c>
      <c r="R76"/>
      <c r="S76"/>
      <c r="T76"/>
      <c r="U76"/>
      <c r="V76"/>
      <c r="W76"/>
      <c r="X76"/>
      <c r="Y76"/>
      <c r="Z76"/>
    </row>
    <row r="77" spans="1:29" s="114" customFormat="1" x14ac:dyDescent="0.2">
      <c r="A77" s="187"/>
      <c r="B77" s="188"/>
      <c r="C77" s="189"/>
      <c r="D77" s="118" t="s">
        <v>195</v>
      </c>
      <c r="E77" s="120">
        <f ca="1">[1]!ripe([1]!Olekuvorrand($C74,$T75,$Y75,$X75,$W75,E$4,[1]!juhe($T75,6)),[1]!juhe($T75,6),$C74,0)</f>
        <v>8.8732235962426493</v>
      </c>
      <c r="F77" s="120">
        <f ca="1">[1]!ripe([1]!Olekuvorrand($C74,$T75,$Y75,$X75,$W75,F$4,[1]!juhe($T75,6)),[1]!juhe($T75,6),$C74,0)</f>
        <v>9.0376203383831957</v>
      </c>
      <c r="G77" s="120">
        <f ca="1">[1]!ripe([1]!Olekuvorrand($C74,$T75,$Y75,$X75,$W75,G$4,[1]!juhe($T75,6)),[1]!juhe($T75,6),$C74,0)</f>
        <v>9.2009404219037894</v>
      </c>
      <c r="H77" s="120">
        <f ca="1">[1]!ripe([1]!Olekuvorrand($C74,$T75,$Y75,$X75,$W75,H$4,[1]!juhe($T75,6)),[1]!juhe($T75,6),$C74,0)</f>
        <v>9.3631326464177764</v>
      </c>
      <c r="I77" s="120">
        <f ca="1">[1]!ripe([1]!Olekuvorrand($C74,$T75,$Y75,$X75,$W75,I$4,[1]!juhe($T75,6)),[1]!juhe($T75,6),$C74,0)</f>
        <v>9.5241563984787696</v>
      </c>
      <c r="J77" s="120">
        <f ca="1">[1]!ripe([1]!Olekuvorrand($C74,$T75,$Y75,$X75,$W75,J$4,[1]!juhe($T75,6)),[1]!juhe($T75,6),$C74,0)</f>
        <v>9.6839907812397996</v>
      </c>
      <c r="K77" s="120">
        <f ca="1">[1]!ripe([1]!Olekuvorrand($C74,$T75,$Y75,$X75,$W75,K$4,[1]!juhe($T75,6)),[1]!juhe($T75,6),$C74,0)</f>
        <v>9.8426144921165513</v>
      </c>
      <c r="L77" s="120">
        <f ca="1">[1]!ripe([1]!Olekuvorrand($C74,$T75,$Y75,$X75,$W75,L$4,[1]!juhe($T75,6)),[1]!juhe($T75,6),$C74,0)</f>
        <v>10.000002904182319</v>
      </c>
      <c r="M77" s="120">
        <f ca="1">[1]!ripe([1]!Olekuvorrand($C74,$T75,$Y75,$X75,$W75,M$4,[1]!juhe($T75,6)),[1]!juhe($T75,6),$C74,0)</f>
        <v>10.156157965760318</v>
      </c>
      <c r="N77" s="120">
        <f ca="1">[1]!ripe([1]!Olekuvorrand($C74,$T75,$Y75,$X75,$W75,N$4,[1]!juhe($T75,6)),[1]!juhe($T75,6),$C74,0)</f>
        <v>10.311064507071999</v>
      </c>
      <c r="O77" s="207"/>
      <c r="Q77" s="141" t="s">
        <v>208</v>
      </c>
      <c r="R77"/>
      <c r="S77"/>
      <c r="T77"/>
      <c r="U77"/>
      <c r="V77"/>
      <c r="W77"/>
      <c r="X77"/>
      <c r="Y77"/>
      <c r="Z77"/>
      <c r="AC77" s="121"/>
    </row>
    <row r="78" spans="1:29" x14ac:dyDescent="0.2">
      <c r="A78" s="105"/>
      <c r="B78" s="113" t="str">
        <f ca="1">INDIRECT("Visangud!C" &amp; R78)</f>
        <v>137Y-138Y</v>
      </c>
      <c r="C78" s="106">
        <f ca="1">INDIRECT("Visangud!"&amp;Q78&amp;R78)</f>
        <v>337.62544054022163</v>
      </c>
      <c r="D78" s="10" t="s">
        <v>31</v>
      </c>
      <c r="E78" s="12">
        <f ca="1">[1]!ripe(E$74,[1]!juhe($T$8,6),$C78,0)</f>
        <v>6.0594020835263711</v>
      </c>
      <c r="F78" s="12">
        <f ca="1">[1]!ripe(F$74,[1]!juhe($T$8,6),$C78,0)</f>
        <v>6.1716663526554827</v>
      </c>
      <c r="G78" s="12">
        <f ca="1">[1]!ripe(G$74,[1]!juhe($T$8,6),$C78,0)</f>
        <v>6.2831953864539143</v>
      </c>
      <c r="H78" s="12">
        <f ca="1">[1]!ripe(H$74,[1]!juhe($T$8,6),$C78,0)</f>
        <v>6.3939542208833755</v>
      </c>
      <c r="I78" s="12">
        <f ca="1">[1]!ripe(I$74,[1]!juhe($T$8,6),$C78,0)</f>
        <v>6.5039151215811541</v>
      </c>
      <c r="J78" s="12">
        <f ca="1">[1]!ripe(J$74,[1]!juhe($T$8,6),$C78,0)</f>
        <v>6.6130638183784987</v>
      </c>
      <c r="K78" s="12">
        <f ca="1">[1]!ripe(K$74,[1]!juhe($T$8,6),$C78,0)</f>
        <v>6.7213857640342223</v>
      </c>
      <c r="L78" s="12">
        <f ca="1">[1]!ripe(L$74,[1]!juhe($T$8,6),$C78,0)</f>
        <v>6.8288641411595377</v>
      </c>
      <c r="M78" s="12">
        <f ca="1">[1]!ripe(M$74,[1]!juhe($T$8,6),$C78,0)</f>
        <v>6.9355002802375152</v>
      </c>
      <c r="N78" s="12">
        <f ca="1">[1]!ripe(N$74,[1]!juhe($T$8,6),$C78,0)</f>
        <v>7.0412838220354841</v>
      </c>
      <c r="O78" s="124"/>
      <c r="Q78" s="141" t="s">
        <v>208</v>
      </c>
      <c r="R78">
        <v>49</v>
      </c>
      <c r="S78"/>
      <c r="T78"/>
      <c r="U78"/>
      <c r="V78"/>
      <c r="W78"/>
      <c r="X78"/>
      <c r="Y78"/>
      <c r="Z78"/>
      <c r="AC78" s="11"/>
    </row>
    <row r="79" spans="1:29" x14ac:dyDescent="0.2">
      <c r="A79" s="153"/>
      <c r="B79" s="113" t="str">
        <f t="shared" ref="B79:B83" ca="1" si="24">INDIRECT("Visangud!C" &amp; R79)</f>
        <v>138Y-139Y</v>
      </c>
      <c r="C79" s="106">
        <f t="shared" ref="C79:C83" ca="1" si="25">INDIRECT("Visangud!"&amp;Q79&amp;R79)</f>
        <v>430.12785820032502</v>
      </c>
      <c r="D79" s="10" t="s">
        <v>31</v>
      </c>
      <c r="E79" s="12">
        <f ca="1">[1]!ripe(E$74,[1]!juhe($T$8,6),$C79,0)</f>
        <v>9.8345521410593868</v>
      </c>
      <c r="F79" s="12">
        <f ca="1">[1]!ripe(F$74,[1]!juhe($T$8,6),$C79,0)</f>
        <v>10.016759691096343</v>
      </c>
      <c r="G79" s="12">
        <f ca="1">[1]!ripe(G$74,[1]!juhe($T$8,6),$C79,0)</f>
        <v>10.197773936893732</v>
      </c>
      <c r="H79" s="12">
        <f ca="1">[1]!ripe(H$74,[1]!juhe($T$8,6),$C79,0)</f>
        <v>10.377538130994809</v>
      </c>
      <c r="I79" s="12">
        <f ca="1">[1]!ripe(I$74,[1]!juhe($T$8,6),$C79,0)</f>
        <v>10.556007259876385</v>
      </c>
      <c r="J79" s="12">
        <f ca="1">[1]!ripe(J$74,[1]!juhe($T$8,6),$C79,0)</f>
        <v>10.733158162718842</v>
      </c>
      <c r="K79" s="12">
        <f ca="1">[1]!ripe(K$74,[1]!juhe($T$8,6),$C79,0)</f>
        <v>10.908967229007482</v>
      </c>
      <c r="L79" s="12">
        <f ca="1">[1]!ripe(L$74,[1]!juhe($T$8,6),$C79,0)</f>
        <v>11.083407163724642</v>
      </c>
      <c r="M79" s="12">
        <f ca="1">[1]!ripe(M$74,[1]!juhe($T$8,6),$C79,0)</f>
        <v>11.256480126275646</v>
      </c>
      <c r="N79" s="12">
        <f ca="1">[1]!ripe(N$74,[1]!juhe($T$8,6),$C79,0)</f>
        <v>11.428169303382145</v>
      </c>
      <c r="O79" s="155"/>
      <c r="Q79" s="141" t="s">
        <v>208</v>
      </c>
      <c r="R79">
        <v>50</v>
      </c>
      <c r="S79"/>
      <c r="T79"/>
      <c r="U79"/>
      <c r="V79"/>
      <c r="W79"/>
      <c r="X79"/>
      <c r="Y79"/>
      <c r="Z79"/>
      <c r="AC79" s="11"/>
    </row>
    <row r="80" spans="1:29" x14ac:dyDescent="0.2">
      <c r="A80" s="153"/>
      <c r="B80" s="113" t="str">
        <f t="shared" ca="1" si="24"/>
        <v>139Y-140Y</v>
      </c>
      <c r="C80" s="106">
        <f t="shared" ca="1" si="25"/>
        <v>430.12950840414629</v>
      </c>
      <c r="D80" s="10" t="s">
        <v>31</v>
      </c>
      <c r="E80" s="12">
        <f ca="1">[1]!ripe(E$74,[1]!juhe($T$8,6),$C80,0)</f>
        <v>9.8346276025592463</v>
      </c>
      <c r="F80" s="12">
        <f ca="1">[1]!ripe(F$74,[1]!juhe($T$8,6),$C80,0)</f>
        <v>10.016836550692915</v>
      </c>
      <c r="G80" s="12">
        <f ca="1">[1]!ripe(G$74,[1]!juhe($T$8,6),$C80,0)</f>
        <v>10.197852185430673</v>
      </c>
      <c r="H80" s="12">
        <f ca="1">[1]!ripe(H$74,[1]!juhe($T$8,6),$C80,0)</f>
        <v>10.377617758880346</v>
      </c>
      <c r="I80" s="12">
        <f ca="1">[1]!ripe(I$74,[1]!juhe($T$8,6),$C80,0)</f>
        <v>10.556088257173355</v>
      </c>
      <c r="J80" s="12">
        <f ca="1">[1]!ripe(J$74,[1]!juhe($T$8,6),$C80,0)</f>
        <v>10.733240519312366</v>
      </c>
      <c r="K80" s="12">
        <f ca="1">[1]!ripe(K$74,[1]!juhe($T$8,6),$C80,0)</f>
        <v>10.909050934601515</v>
      </c>
      <c r="L80" s="12">
        <f ca="1">[1]!ripe(L$74,[1]!juhe($T$8,6),$C80,0)</f>
        <v>11.083492207813698</v>
      </c>
      <c r="M80" s="12">
        <f ca="1">[1]!ripe(M$74,[1]!juhe($T$8,6),$C80,0)</f>
        <v>11.256566498370812</v>
      </c>
      <c r="N80" s="12">
        <f ca="1">[1]!ripe(N$74,[1]!juhe($T$8,6),$C80,0)</f>
        <v>11.428256992865499</v>
      </c>
      <c r="O80" s="155"/>
      <c r="Q80" s="141" t="s">
        <v>208</v>
      </c>
      <c r="R80">
        <v>51</v>
      </c>
      <c r="S80"/>
      <c r="T80"/>
      <c r="U80"/>
      <c r="V80"/>
      <c r="W80"/>
      <c r="X80"/>
      <c r="Y80"/>
      <c r="Z80"/>
      <c r="AC80" s="11"/>
    </row>
    <row r="81" spans="1:29" x14ac:dyDescent="0.2">
      <c r="A81" s="153"/>
      <c r="B81" s="113" t="str">
        <f t="shared" ref="B81:B82" ca="1" si="26">INDIRECT("Visangud!C" &amp; R81)</f>
        <v>140Y-141Y</v>
      </c>
      <c r="C81" s="106">
        <f t="shared" ref="C81:C82" ca="1" si="27">INDIRECT("Visangud!"&amp;Q81&amp;R81)</f>
        <v>430.16843143122901</v>
      </c>
      <c r="D81" s="10" t="s">
        <v>31</v>
      </c>
      <c r="E81" s="12">
        <f ca="1">[1]!ripe(E$74,[1]!juhe($T$8,6),$C81,0)</f>
        <v>9.8364075817924981</v>
      </c>
      <c r="F81" s="12">
        <f ca="1">[1]!ripe(F$74,[1]!juhe($T$8,6),$C81,0)</f>
        <v>10.018649508108656</v>
      </c>
      <c r="G81" s="12">
        <f ca="1">[1]!ripe(G$74,[1]!juhe($T$8,6),$C81,0)</f>
        <v>10.199697905049899</v>
      </c>
      <c r="H81" s="12">
        <f ca="1">[1]!ripe(H$74,[1]!juhe($T$8,6),$C81,0)</f>
        <v>10.379496014453199</v>
      </c>
      <c r="I81" s="12">
        <f ca="1">[1]!ripe(I$74,[1]!juhe($T$8,6),$C81,0)</f>
        <v>10.557998814302865</v>
      </c>
      <c r="J81" s="12">
        <f ca="1">[1]!ripe(J$74,[1]!juhe($T$8,6),$C81,0)</f>
        <v>10.735183139409633</v>
      </c>
      <c r="K81" s="12">
        <f ca="1">[1]!ripe(K$74,[1]!juhe($T$8,6),$C81,0)</f>
        <v>10.911025374804316</v>
      </c>
      <c r="L81" s="12">
        <f ca="1">[1]!ripe(L$74,[1]!juhe($T$8,6),$C81,0)</f>
        <v>11.08549822031962</v>
      </c>
      <c r="M81" s="12">
        <f ca="1">[1]!ripe(M$74,[1]!juhe($T$8,6),$C81,0)</f>
        <v>11.258603835768275</v>
      </c>
      <c r="N81" s="12">
        <f ca="1">[1]!ripe(N$74,[1]!juhe($T$8,6),$C81,0)</f>
        <v>11.43032540469985</v>
      </c>
      <c r="O81" s="155"/>
      <c r="Q81" s="141" t="s">
        <v>208</v>
      </c>
      <c r="R81">
        <v>52</v>
      </c>
      <c r="S81"/>
      <c r="T81"/>
      <c r="U81"/>
      <c r="V81"/>
      <c r="W81"/>
      <c r="X81"/>
      <c r="Y81"/>
      <c r="Z81"/>
      <c r="AC81" s="11"/>
    </row>
    <row r="82" spans="1:29" x14ac:dyDescent="0.2">
      <c r="A82" s="153"/>
      <c r="B82" s="113" t="str">
        <f t="shared" ca="1" si="26"/>
        <v>141Y-142Y</v>
      </c>
      <c r="C82" s="106">
        <f t="shared" ca="1" si="27"/>
        <v>402.92485614569125</v>
      </c>
      <c r="D82" s="10" t="s">
        <v>31</v>
      </c>
      <c r="E82" s="12">
        <f ca="1">[1]!ripe(E$74,[1]!juhe($T$8,6),$C82,0)</f>
        <v>8.6299357665850849</v>
      </c>
      <c r="F82" s="12">
        <f ca="1">[1]!ripe(F$74,[1]!juhe($T$8,6),$C82,0)</f>
        <v>8.7898250457766416</v>
      </c>
      <c r="G82" s="12">
        <f ca="1">[1]!ripe(G$74,[1]!juhe($T$8,6),$C82,0)</f>
        <v>8.9486671863908889</v>
      </c>
      <c r="H82" s="12">
        <f ca="1">[1]!ripe(H$74,[1]!juhe($T$8,6),$C82,0)</f>
        <v>9.1064123918636746</v>
      </c>
      <c r="I82" s="12">
        <f ca="1">[1]!ripe(I$74,[1]!juhe($T$8,6),$C82,0)</f>
        <v>9.2630211622962513</v>
      </c>
      <c r="J82" s="12">
        <f ca="1">[1]!ripe(J$74,[1]!juhe($T$8,6),$C82,0)</f>
        <v>9.418473173795606</v>
      </c>
      <c r="K82" s="12">
        <f ca="1">[1]!ripe(K$74,[1]!juhe($T$8,6),$C82,0)</f>
        <v>9.5727477078559673</v>
      </c>
      <c r="L82" s="12">
        <f ca="1">[1]!ripe(L$74,[1]!juhe($T$8,6),$C82,0)</f>
        <v>9.725820812776659</v>
      </c>
      <c r="M82" s="12">
        <f ca="1">[1]!ripe(M$74,[1]!juhe($T$8,6),$C82,0)</f>
        <v>9.8776943834613782</v>
      </c>
      <c r="N82" s="12">
        <f ca="1">[1]!ripe(N$74,[1]!juhe($T$8,6),$C82,0)</f>
        <v>10.028353666059614</v>
      </c>
      <c r="O82" s="155"/>
      <c r="Q82" s="141" t="s">
        <v>208</v>
      </c>
      <c r="R82">
        <v>53</v>
      </c>
      <c r="S82"/>
      <c r="T82"/>
      <c r="U82"/>
      <c r="V82"/>
      <c r="W82"/>
      <c r="X82"/>
      <c r="Y82"/>
      <c r="Z82"/>
      <c r="AC82" s="11"/>
    </row>
    <row r="83" spans="1:29" x14ac:dyDescent="0.2">
      <c r="A83" s="153"/>
      <c r="B83" s="113" t="str">
        <f t="shared" ca="1" si="24"/>
        <v>142Y-143Y</v>
      </c>
      <c r="C83" s="106">
        <f t="shared" ca="1" si="25"/>
        <v>403.02554720514649</v>
      </c>
      <c r="D83" s="10" t="s">
        <v>31</v>
      </c>
      <c r="E83" s="12">
        <f ca="1">[1]!ripe(E$74,[1]!juhe($T$8,6),$C83,0)</f>
        <v>8.634249553329612</v>
      </c>
      <c r="F83" s="12">
        <f ca="1">[1]!ripe(F$74,[1]!juhe($T$8,6),$C83,0)</f>
        <v>8.7942187552774698</v>
      </c>
      <c r="G83" s="12">
        <f ca="1">[1]!ripe(G$74,[1]!juhe($T$8,6),$C83,0)</f>
        <v>8.9531402952220471</v>
      </c>
      <c r="H83" s="12">
        <f ca="1">[1]!ripe(H$74,[1]!juhe($T$8,6),$C83,0)</f>
        <v>9.1109643517077235</v>
      </c>
      <c r="I83" s="12">
        <f ca="1">[1]!ripe(I$74,[1]!juhe($T$8,6),$C83,0)</f>
        <v>9.2676514050912111</v>
      </c>
      <c r="J83" s="12">
        <f ca="1">[1]!ripe(J$74,[1]!juhe($T$8,6),$C83,0)</f>
        <v>9.4231811213203276</v>
      </c>
      <c r="K83" s="12">
        <f ca="1">[1]!ripe(K$74,[1]!juhe($T$8,6),$C83,0)</f>
        <v>9.5775327715328888</v>
      </c>
      <c r="L83" s="12">
        <f ca="1">[1]!ripe(L$74,[1]!juhe($T$8,6),$C83,0)</f>
        <v>9.7306823920556429</v>
      </c>
      <c r="M83" s="12">
        <f ca="1">[1]!ripe(M$74,[1]!juhe($T$8,6),$C83,0)</f>
        <v>9.8826318787394829</v>
      </c>
      <c r="N83" s="12">
        <f ca="1">[1]!ripe(N$74,[1]!juhe($T$8,6),$C83,0)</f>
        <v>10.03336647035899</v>
      </c>
      <c r="O83" s="155"/>
      <c r="Q83" s="141" t="s">
        <v>208</v>
      </c>
      <c r="R83">
        <v>54</v>
      </c>
      <c r="S83"/>
      <c r="T83"/>
      <c r="U83"/>
      <c r="V83"/>
      <c r="W83"/>
      <c r="X83"/>
      <c r="Y83"/>
      <c r="Z83"/>
      <c r="AC83" s="11"/>
    </row>
    <row r="84" spans="1:29" x14ac:dyDescent="0.2">
      <c r="A84" s="108"/>
      <c r="B84" s="113" t="str">
        <f ca="1">INDIRECT("Visangud!C" &amp; R84)</f>
        <v>143Y-144Y</v>
      </c>
      <c r="C84" s="106">
        <f ca="1">INDIRECT("Visangud!"&amp;Q84&amp;R84)</f>
        <v>402.98537355589087</v>
      </c>
      <c r="D84" s="10" t="s">
        <v>31</v>
      </c>
      <c r="E84" s="12">
        <f ca="1">[1]!ripe(E$74,[1]!juhe($T$8,6),$C84,0)</f>
        <v>8.6325283124427603</v>
      </c>
      <c r="F84" s="12">
        <f ca="1">[1]!ripe(F$74,[1]!juhe($T$8,6),$C84,0)</f>
        <v>8.7924656244702124</v>
      </c>
      <c r="G84" s="12">
        <f ca="1">[1]!ripe(G$74,[1]!juhe($T$8,6),$C84,0)</f>
        <v>8.9513554833461946</v>
      </c>
      <c r="H84" s="12">
        <f ca="1">[1]!ripe(H$74,[1]!juhe($T$8,6),$C84,0)</f>
        <v>9.1091480775470171</v>
      </c>
      <c r="I84" s="12">
        <f ca="1">[1]!ripe(I$74,[1]!juhe($T$8,6),$C84,0)</f>
        <v>9.2658038953076449</v>
      </c>
      <c r="J84" s="12">
        <f ca="1">[1]!ripe(J$74,[1]!juhe($T$8,6),$C84,0)</f>
        <v>9.4213026066294976</v>
      </c>
      <c r="K84" s="12">
        <f ca="1">[1]!ripe(K$74,[1]!juhe($T$8,6),$C84,0)</f>
        <v>9.5756234867826979</v>
      </c>
      <c r="L84" s="12">
        <f ca="1">[1]!ripe(L$74,[1]!juhe($T$8,6),$C84,0)</f>
        <v>9.7287425768711593</v>
      </c>
      <c r="M84" s="12">
        <f ca="1">[1]!ripe(M$74,[1]!juhe($T$8,6),$C84,0)</f>
        <v>9.8806617723678389</v>
      </c>
      <c r="N84" s="12">
        <f ca="1">[1]!ripe(N$74,[1]!juhe($T$8,6),$C84,0)</f>
        <v>10.03136631498997</v>
      </c>
      <c r="O84" s="125"/>
      <c r="Q84" s="141" t="s">
        <v>208</v>
      </c>
      <c r="R84">
        <v>55</v>
      </c>
      <c r="S84"/>
      <c r="T84"/>
      <c r="U84"/>
      <c r="V84"/>
      <c r="W84"/>
      <c r="X84"/>
      <c r="Y84"/>
      <c r="Z84"/>
    </row>
    <row r="85" spans="1:29" s="114" customFormat="1" hidden="1" x14ac:dyDescent="0.2">
      <c r="A85" s="187">
        <v>10</v>
      </c>
      <c r="B85" s="188" t="str">
        <f ca="1">R86</f>
        <v>144Y- 148Y</v>
      </c>
      <c r="C85" s="189">
        <f ca="1">S86</f>
        <v>466.6264206472535</v>
      </c>
      <c r="D85" s="118" t="s">
        <v>130</v>
      </c>
      <c r="E85" s="119">
        <f ca="1">[1]!Olekuvorrand($C85,$T86,$Y86,$X86,$W86,E$4,[1]!juhe($T86,6),TRUE)</f>
        <v>125.36543607711792</v>
      </c>
      <c r="F85" s="119">
        <f ca="1">[1]!Olekuvorrand($C85,$T86,$Y86,$X86,$W86,F$4,[1]!juhe($T86,6),TRUE)</f>
        <v>123.52567911148071</v>
      </c>
      <c r="G85" s="119">
        <f ca="1">[1]!Olekuvorrand($C85,$T86,$Y86,$X86,$W86,G$4,[1]!juhe($T86,6),TRUE)</f>
        <v>121.75172567367554</v>
      </c>
      <c r="H85" s="119">
        <f ca="1">[1]!Olekuvorrand($C85,$T86,$Y86,$X86,$W86,H$4,[1]!juhe($T86,6),TRUE)</f>
        <v>120.04023790359497</v>
      </c>
      <c r="I85" s="119">
        <f ca="1">[1]!Olekuvorrand($C85,$T86,$Y86,$X86,$W86,I$4,[1]!juhe($T86,6),TRUE)</f>
        <v>118.38823556900024</v>
      </c>
      <c r="J85" s="119">
        <f ca="1">[1]!Olekuvorrand($C85,$T86,$Y86,$X86,$W86,J$4,[1]!juhe($T86,6),TRUE)</f>
        <v>116.79273843765259</v>
      </c>
      <c r="K85" s="119">
        <f ca="1">[1]!Olekuvorrand($C85,$T86,$Y86,$X86,$W86,K$4,[1]!juhe($T86,6),TRUE)</f>
        <v>115.25112390518188</v>
      </c>
      <c r="L85" s="119">
        <f ca="1">[1]!Olekuvorrand($C85,$T86,$Y86,$X86,$W86,L$4,[1]!juhe($T86,6),TRUE)</f>
        <v>113.76076936721802</v>
      </c>
      <c r="M85" s="119">
        <f ca="1">[1]!Olekuvorrand($C85,$T86,$Y86,$X86,$W86,M$4,[1]!juhe($T86,6),TRUE)</f>
        <v>112.31917142868042</v>
      </c>
      <c r="N85" s="119">
        <f ca="1">[1]!Olekuvorrand($C85,$T86,$Y86,$X86,$W86,N$4,[1]!juhe($T86,6),TRUE)</f>
        <v>110.92406511306763</v>
      </c>
      <c r="O85" s="207">
        <f ca="1">U86</f>
        <v>116.79273843765259</v>
      </c>
      <c r="Q85" s="141" t="s">
        <v>216</v>
      </c>
      <c r="R85"/>
      <c r="S85"/>
      <c r="T85"/>
      <c r="U85"/>
      <c r="V85"/>
      <c r="W85"/>
      <c r="X85"/>
      <c r="Y85"/>
      <c r="Z85"/>
    </row>
    <row r="86" spans="1:29" s="114" customFormat="1" x14ac:dyDescent="0.2">
      <c r="A86" s="187"/>
      <c r="B86" s="188"/>
      <c r="C86" s="189"/>
      <c r="D86" s="118" t="s">
        <v>32</v>
      </c>
      <c r="E86" s="119">
        <f ca="1">E85*[1]!juhe($T86,2)/10</f>
        <v>841.20207607746124</v>
      </c>
      <c r="F86" s="119">
        <f ca="1">F85*[1]!juhe($T86,2)/10</f>
        <v>828.85730683803558</v>
      </c>
      <c r="G86" s="119">
        <f ca="1">G85*[1]!juhe($T86,2)/10</f>
        <v>816.95407927036274</v>
      </c>
      <c r="H86" s="119">
        <f ca="1">H85*[1]!juhe($T86,2)/10</f>
        <v>805.46999633312214</v>
      </c>
      <c r="I86" s="119">
        <f ca="1">I85*[1]!juhe($T86,2)/10</f>
        <v>794.38506066799152</v>
      </c>
      <c r="J86" s="119">
        <f ca="1">J85*[1]!juhe($T86,2)/10</f>
        <v>783.67927491664875</v>
      </c>
      <c r="K86" s="119">
        <f ca="1">K85*[1]!juhe($T86,2)/10</f>
        <v>773.33504140377033</v>
      </c>
      <c r="L86" s="119">
        <f ca="1">L85*[1]!juhe($T86,2)/10</f>
        <v>763.33476245403278</v>
      </c>
      <c r="M86" s="119">
        <f ca="1">M85*[1]!juhe($T86,2)/10</f>
        <v>753.6616402864455</v>
      </c>
      <c r="N86" s="119">
        <f ca="1">N85*[1]!juhe($T86,2)/10</f>
        <v>744.30047690868366</v>
      </c>
      <c r="O86" s="207"/>
      <c r="Q86" s="141" t="s">
        <v>209</v>
      </c>
      <c r="R86" s="129" t="str">
        <f t="shared" ref="R86:Y86" ca="1" si="28">INDIRECT("'"&amp;$S$1&amp;"'!"&amp;$Q86&amp;R$4)</f>
        <v>144Y- 148Y</v>
      </c>
      <c r="S86" s="129">
        <f t="shared" ca="1" si="28"/>
        <v>466.6264206472535</v>
      </c>
      <c r="T86" s="129" t="str">
        <f t="shared" ca="1" si="28"/>
        <v>9,9-S1A - 19</v>
      </c>
      <c r="U86" s="129">
        <f t="shared" ca="1" si="28"/>
        <v>116.79273843765259</v>
      </c>
      <c r="V86" s="129">
        <f t="shared" ca="1" si="28"/>
        <v>6</v>
      </c>
      <c r="W86" s="129">
        <f t="shared" ca="1" si="28"/>
        <v>0.27411620251184238</v>
      </c>
      <c r="X86" s="129">
        <f t="shared" ca="1" si="28"/>
        <v>-5</v>
      </c>
      <c r="Y86" s="129">
        <f t="shared" ca="1" si="28"/>
        <v>435.76842546463013</v>
      </c>
      <c r="Z86">
        <v>1</v>
      </c>
    </row>
    <row r="87" spans="1:29" s="114" customFormat="1" x14ac:dyDescent="0.2">
      <c r="A87" s="187"/>
      <c r="B87" s="188"/>
      <c r="C87" s="189"/>
      <c r="D87" s="118" t="s">
        <v>31</v>
      </c>
      <c r="E87" s="120">
        <f ca="1">[1]!ripe([1]!Olekuvorrand($C85,$T86,$Y86,$X86,$W86,E$4,[1]!juhe($T86,6),TRUE),[1]!juhe($T86,6),$C85,0)</f>
        <v>11.615144836151977</v>
      </c>
      <c r="F87" s="120">
        <f ca="1">[1]!ripe([1]!Olekuvorrand($C85,$T86,$Y86,$X86,$W86,F$4,[1]!juhe($T86,6),TRUE),[1]!juhe($T86,6),$C85,0)</f>
        <v>11.788137559388982</v>
      </c>
      <c r="G87" s="120">
        <f ca="1">[1]!ripe([1]!Olekuvorrand($C85,$T86,$Y86,$X86,$W86,G$4,[1]!juhe($T86,6),TRUE),[1]!juhe($T86,6),$C85,0)</f>
        <v>11.959893705210247</v>
      </c>
      <c r="H87" s="120">
        <f ca="1">[1]!ripe([1]!Olekuvorrand($C85,$T86,$Y86,$X86,$W86,H$4,[1]!juhe($T86,6),TRUE),[1]!juhe($T86,6),$C85,0)</f>
        <v>12.130413292353767</v>
      </c>
      <c r="I87" s="120">
        <f ca="1">[1]!ripe([1]!Olekuvorrand($C85,$T86,$Y86,$X86,$W86,I$4,[1]!juhe($T86,6),TRUE),[1]!juhe($T86,6),$C85,0)</f>
        <v>12.299682400743237</v>
      </c>
      <c r="J87" s="120">
        <f ca="1">[1]!ripe([1]!Olekuvorrand($C85,$T86,$Y86,$X86,$W86,J$4,[1]!juhe($T86,6),TRUE),[1]!juhe($T86,6),$C85,0)</f>
        <v>12.467707470190076</v>
      </c>
      <c r="K87" s="120">
        <f ca="1">[1]!ripe([1]!Olekuvorrand($C85,$T86,$Y86,$X86,$W86,K$4,[1]!juhe($T86,6),TRUE),[1]!juhe($T86,6),$C85,0)</f>
        <v>12.6344772019842</v>
      </c>
      <c r="L87" s="120">
        <f ca="1">[1]!ripe([1]!Olekuvorrand($C85,$T86,$Y86,$X86,$W86,L$4,[1]!juhe($T86,6),TRUE),[1]!juhe($T86,6),$C85,0)</f>
        <v>12.799998677775172</v>
      </c>
      <c r="M87" s="120">
        <f ca="1">[1]!ripe([1]!Olekuvorrand($C85,$T86,$Y86,$X86,$W86,M$4,[1]!juhe($T86,6),TRUE),[1]!juhe($T86,6),$C85,0)</f>
        <v>12.964284538082479</v>
      </c>
      <c r="N87" s="120">
        <f ca="1">[1]!ripe([1]!Olekuvorrand($C85,$T86,$Y86,$X86,$W86,N$4,[1]!juhe($T86,6),TRUE),[1]!juhe($T86,6),$C85,0)</f>
        <v>13.127338021725041</v>
      </c>
      <c r="O87" s="207"/>
      <c r="Q87" s="141" t="s">
        <v>209</v>
      </c>
      <c r="R87"/>
      <c r="S87"/>
      <c r="T87"/>
      <c r="U87"/>
      <c r="V87"/>
      <c r="W87"/>
      <c r="X87"/>
      <c r="Y87"/>
      <c r="Z87"/>
    </row>
    <row r="88" spans="1:29" s="114" customFormat="1" x14ac:dyDescent="0.2">
      <c r="A88" s="187"/>
      <c r="B88" s="188"/>
      <c r="C88" s="189"/>
      <c r="D88" s="118" t="s">
        <v>195</v>
      </c>
      <c r="E88" s="120">
        <f ca="1">[1]!ripe([1]!Olekuvorrand($C85,$T86,$Y86,$X86,$W86,E$4,[1]!juhe($T86,6)),[1]!juhe($T86,6),$C85,0)</f>
        <v>11.615144836151977</v>
      </c>
      <c r="F88" s="120">
        <f ca="1">[1]!ripe([1]!Olekuvorrand($C85,$T86,$Y86,$X86,$W86,F$4,[1]!juhe($T86,6)),[1]!juhe($T86,6),$C85,0)</f>
        <v>11.788137559388982</v>
      </c>
      <c r="G88" s="120">
        <f ca="1">[1]!ripe([1]!Olekuvorrand($C85,$T86,$Y86,$X86,$W86,G$4,[1]!juhe($T86,6)),[1]!juhe($T86,6),$C85,0)</f>
        <v>11.959893705210247</v>
      </c>
      <c r="H88" s="120">
        <f ca="1">[1]!ripe([1]!Olekuvorrand($C85,$T86,$Y86,$X86,$W86,H$4,[1]!juhe($T86,6)),[1]!juhe($T86,6),$C85,0)</f>
        <v>12.130413292353767</v>
      </c>
      <c r="I88" s="120">
        <f ca="1">[1]!ripe([1]!Olekuvorrand($C85,$T86,$Y86,$X86,$W86,I$4,[1]!juhe($T86,6)),[1]!juhe($T86,6),$C85,0)</f>
        <v>12.299682400743237</v>
      </c>
      <c r="J88" s="120">
        <f ca="1">[1]!ripe([1]!Olekuvorrand($C85,$T86,$Y86,$X86,$W86,J$4,[1]!juhe($T86,6)),[1]!juhe($T86,6),$C85,0)</f>
        <v>12.467707470190076</v>
      </c>
      <c r="K88" s="120">
        <f ca="1">[1]!ripe([1]!Olekuvorrand($C85,$T86,$Y86,$X86,$W86,K$4,[1]!juhe($T86,6)),[1]!juhe($T86,6),$C85,0)</f>
        <v>12.6344772019842</v>
      </c>
      <c r="L88" s="120">
        <f ca="1">[1]!ripe([1]!Olekuvorrand($C85,$T86,$Y86,$X86,$W86,L$4,[1]!juhe($T86,6)),[1]!juhe($T86,6),$C85,0)</f>
        <v>12.799998677775172</v>
      </c>
      <c r="M88" s="120">
        <f ca="1">[1]!ripe([1]!Olekuvorrand($C85,$T86,$Y86,$X86,$W86,M$4,[1]!juhe($T86,6)),[1]!juhe($T86,6),$C85,0)</f>
        <v>12.964284538082479</v>
      </c>
      <c r="N88" s="120">
        <f ca="1">[1]!ripe([1]!Olekuvorrand($C85,$T86,$Y86,$X86,$W86,N$4,[1]!juhe($T86,6)),[1]!juhe($T86,6),$C85,0)</f>
        <v>13.127338021725041</v>
      </c>
      <c r="O88" s="207"/>
      <c r="Q88" s="141" t="s">
        <v>209</v>
      </c>
      <c r="R88"/>
      <c r="S88"/>
      <c r="T88"/>
      <c r="U88"/>
      <c r="V88"/>
      <c r="W88"/>
      <c r="X88"/>
      <c r="Y88"/>
      <c r="Z88"/>
      <c r="AC88" s="121"/>
    </row>
    <row r="89" spans="1:29" x14ac:dyDescent="0.2">
      <c r="A89" s="105"/>
      <c r="B89" s="113" t="str">
        <f ca="1">INDIRECT("Visangud!C" &amp; R89)</f>
        <v>144Y-145Y</v>
      </c>
      <c r="C89" s="106">
        <f ca="1">INDIRECT("Visangud!"&amp;Q89&amp;R89)</f>
        <v>455.65188905548916</v>
      </c>
      <c r="D89" s="10" t="s">
        <v>31</v>
      </c>
      <c r="E89" s="12">
        <f ca="1">[1]!ripe(E$85,[1]!juhe($T$8,6),$C89,0)</f>
        <v>11.075219176797694</v>
      </c>
      <c r="F89" s="12">
        <f ca="1">[1]!ripe(F$85,[1]!juhe($T$8,6),$C89,0)</f>
        <v>11.240170398058202</v>
      </c>
      <c r="G89" s="12">
        <f ca="1">[1]!ripe(G$85,[1]!juhe($T$8,6),$C89,0)</f>
        <v>11.403942523741202</v>
      </c>
      <c r="H89" s="12">
        <f ca="1">[1]!ripe(H$85,[1]!juhe($T$8,6),$C89,0)</f>
        <v>11.566535571713661</v>
      </c>
      <c r="I89" s="12">
        <f ca="1">[1]!ripe(I$85,[1]!juhe($T$8,6),$C89,0)</f>
        <v>11.727936268968815</v>
      </c>
      <c r="J89" s="12">
        <f ca="1">[1]!ripe(J$85,[1]!juhe($T$8,6),$C89,0)</f>
        <v>11.888150755965855</v>
      </c>
      <c r="K89" s="12">
        <f ca="1">[1]!ripe(K$85,[1]!juhe($T$8,6),$C89,0)</f>
        <v>12.047168259211006</v>
      </c>
      <c r="L89" s="12">
        <f ca="1">[1]!ripe(L$85,[1]!juhe($T$8,6),$C89,0)</f>
        <v>12.204995531166</v>
      </c>
      <c r="M89" s="12">
        <f ca="1">[1]!ripe(M$85,[1]!juhe($T$8,6),$C89,0)</f>
        <v>12.361644624760512</v>
      </c>
      <c r="N89" s="12">
        <f ca="1">[1]!ripe(N$85,[1]!juhe($T$8,6),$C89,0)</f>
        <v>12.517118628258178</v>
      </c>
      <c r="O89" s="124"/>
      <c r="Q89" s="141" t="s">
        <v>209</v>
      </c>
      <c r="R89">
        <v>56</v>
      </c>
      <c r="S89"/>
      <c r="T89"/>
      <c r="U89"/>
      <c r="V89"/>
      <c r="W89"/>
      <c r="X89"/>
      <c r="Y89"/>
      <c r="Z89"/>
      <c r="AC89" s="11"/>
    </row>
    <row r="90" spans="1:29" x14ac:dyDescent="0.2">
      <c r="A90" s="153"/>
      <c r="B90" s="113" t="str">
        <f t="shared" ref="B90:B91" ca="1" si="29">INDIRECT("Visangud!C" &amp; R90)</f>
        <v>145Y-146Y</v>
      </c>
      <c r="C90" s="106">
        <f t="shared" ref="C90:C91" ca="1" si="30">INDIRECT("Visangud!"&amp;Q90&amp;R90)</f>
        <v>475.51169912002717</v>
      </c>
      <c r="D90" s="10" t="s">
        <v>31</v>
      </c>
      <c r="E90" s="12">
        <f ca="1">[1]!ripe(E$85,[1]!juhe($T$8,6),$C90,0)</f>
        <v>12.061696383921394</v>
      </c>
      <c r="F90" s="12">
        <f ca="1">[1]!ripe(F$85,[1]!juhe($T$8,6),$C90,0)</f>
        <v>12.241339921195078</v>
      </c>
      <c r="G90" s="12">
        <f ca="1">[1]!ripe(G$85,[1]!juhe($T$8,6),$C90,0)</f>
        <v>12.419699340056614</v>
      </c>
      <c r="H90" s="12">
        <f ca="1">[1]!ripe(H$85,[1]!juhe($T$8,6),$C90,0)</f>
        <v>12.596774659964389</v>
      </c>
      <c r="I90" s="12">
        <f ca="1">[1]!ripe(I$85,[1]!juhe($T$8,6),$C90,0)</f>
        <v>12.772551425676014</v>
      </c>
      <c r="J90" s="12">
        <f ca="1">[1]!ripe(J$85,[1]!juhe($T$8,6),$C90,0)</f>
        <v>12.947036324585506</v>
      </c>
      <c r="K90" s="12">
        <f ca="1">[1]!ripe(K$85,[1]!juhe($T$8,6),$C90,0)</f>
        <v>13.120217623596766</v>
      </c>
      <c r="L90" s="12">
        <f ca="1">[1]!ripe(L$85,[1]!juhe($T$8,6),$C90,0)</f>
        <v>13.292102676617827</v>
      </c>
      <c r="M90" s="12">
        <f ca="1">[1]!ripe(M$85,[1]!juhe($T$8,6),$C90,0)</f>
        <v>13.462704610140898</v>
      </c>
      <c r="N90" s="12">
        <f ca="1">[1]!ripe(N$85,[1]!juhe($T$8,6),$C90,0)</f>
        <v>13.632026787503333</v>
      </c>
      <c r="O90" s="124"/>
      <c r="Q90" s="141" t="s">
        <v>209</v>
      </c>
      <c r="R90">
        <v>57</v>
      </c>
      <c r="S90"/>
      <c r="T90"/>
      <c r="U90"/>
      <c r="V90"/>
      <c r="W90"/>
      <c r="X90"/>
      <c r="Y90"/>
      <c r="Z90"/>
      <c r="AC90" s="11"/>
    </row>
    <row r="91" spans="1:29" x14ac:dyDescent="0.2">
      <c r="A91" s="153"/>
      <c r="B91" s="113" t="str">
        <f t="shared" ca="1" si="29"/>
        <v>146Y-147Y</v>
      </c>
      <c r="C91" s="106">
        <f t="shared" ca="1" si="30"/>
        <v>439.71215675729928</v>
      </c>
      <c r="D91" s="10" t="s">
        <v>31</v>
      </c>
      <c r="E91" s="12">
        <f ca="1">[1]!ripe(E$85,[1]!juhe($T$8,6),$C91,0)</f>
        <v>10.313900202968664</v>
      </c>
      <c r="F91" s="12">
        <f ca="1">[1]!ripe(F$85,[1]!juhe($T$8,6),$C91,0)</f>
        <v>10.46751255205904</v>
      </c>
      <c r="G91" s="12">
        <f ca="1">[1]!ripe(G$85,[1]!juhe($T$8,6),$C91,0)</f>
        <v>10.620026857497002</v>
      </c>
      <c r="H91" s="12">
        <f ca="1">[1]!ripe(H$85,[1]!juhe($T$8,6),$C91,0)</f>
        <v>10.771443135921331</v>
      </c>
      <c r="I91" s="12">
        <f ca="1">[1]!ripe(I$85,[1]!juhe($T$8,6),$C91,0)</f>
        <v>10.921749026721816</v>
      </c>
      <c r="J91" s="12">
        <f ca="1">[1]!ripe(J$85,[1]!juhe($T$8,6),$C91,0)</f>
        <v>11.070950248257828</v>
      </c>
      <c r="K91" s="12">
        <f ca="1">[1]!ripe(K$85,[1]!juhe($T$8,6),$C91,0)</f>
        <v>11.219036767613733</v>
      </c>
      <c r="L91" s="12">
        <f ca="1">[1]!ripe(L$85,[1]!juhe($T$8,6),$C91,0)</f>
        <v>11.366014873081916</v>
      </c>
      <c r="M91" s="12">
        <f ca="1">[1]!ripe(M$85,[1]!juhe($T$8,6),$C91,0)</f>
        <v>11.511895789064516</v>
      </c>
      <c r="N91" s="12">
        <f ca="1">[1]!ripe(N$85,[1]!juhe($T$8,6),$C91,0)</f>
        <v>11.656682391535581</v>
      </c>
      <c r="O91" s="124"/>
      <c r="Q91" s="141" t="s">
        <v>209</v>
      </c>
      <c r="R91">
        <v>58</v>
      </c>
      <c r="S91"/>
      <c r="T91"/>
      <c r="U91"/>
      <c r="V91"/>
      <c r="W91"/>
      <c r="X91"/>
      <c r="Y91"/>
      <c r="Z91"/>
      <c r="AC91" s="11"/>
    </row>
    <row r="92" spans="1:29" x14ac:dyDescent="0.2">
      <c r="A92" s="108"/>
      <c r="B92" s="113" t="str">
        <f ca="1">INDIRECT("Visangud!C" &amp; R92)</f>
        <v>147Y-148Y</v>
      </c>
      <c r="C92" s="106">
        <f ca="1">INDIRECT("Visangud!"&amp;Q92&amp;R92)</f>
        <v>490.79630907322172</v>
      </c>
      <c r="D92" s="10" t="s">
        <v>31</v>
      </c>
      <c r="E92" s="12">
        <f ca="1">[1]!ripe(E$85,[1]!juhe($T$8,6),$C92,0)</f>
        <v>12.849568841254472</v>
      </c>
      <c r="F92" s="12">
        <f ca="1">[1]!ripe(F$85,[1]!juhe($T$8,6),$C92,0)</f>
        <v>13.040946730865569</v>
      </c>
      <c r="G92" s="12">
        <f ca="1">[1]!ripe(G$85,[1]!juhe($T$8,6),$C92,0)</f>
        <v>13.23095662318905</v>
      </c>
      <c r="H92" s="12">
        <f ca="1">[1]!ripe(H$85,[1]!juhe($T$8,6),$C92,0)</f>
        <v>13.419598538954332</v>
      </c>
      <c r="I92" s="12">
        <f ca="1">[1]!ripe(I$85,[1]!juhe($T$8,6),$C92,0)</f>
        <v>13.606857078699658</v>
      </c>
      <c r="J92" s="12">
        <f ca="1">[1]!ripe(J$85,[1]!juhe($T$8,6),$C92,0)</f>
        <v>13.792739366640976</v>
      </c>
      <c r="K92" s="12">
        <f ca="1">[1]!ripe(K$85,[1]!juhe($T$8,6),$C92,0)</f>
        <v>13.977232903273972</v>
      </c>
      <c r="L92" s="12">
        <f ca="1">[1]!ripe(L$85,[1]!juhe($T$8,6),$C92,0)</f>
        <v>14.160345522865441</v>
      </c>
      <c r="M92" s="12">
        <f ca="1">[1]!ripe(M$85,[1]!juhe($T$8,6),$C92,0)</f>
        <v>14.342091209332732</v>
      </c>
      <c r="N92" s="12">
        <f ca="1">[1]!ripe(N$85,[1]!juhe($T$8,6),$C92,0)</f>
        <v>14.522473545707074</v>
      </c>
      <c r="O92" s="124"/>
      <c r="Q92" s="141" t="s">
        <v>209</v>
      </c>
      <c r="R92">
        <v>59</v>
      </c>
      <c r="S92"/>
      <c r="T92"/>
      <c r="U92"/>
      <c r="V92"/>
      <c r="W92"/>
      <c r="X92"/>
      <c r="Y92"/>
      <c r="Z92"/>
    </row>
    <row r="93" spans="1:29" s="114" customFormat="1" hidden="1" x14ac:dyDescent="0.2">
      <c r="A93" s="187">
        <v>11</v>
      </c>
      <c r="B93" s="188" t="str">
        <f ca="1">R94</f>
        <v>148Y- 151Y</v>
      </c>
      <c r="C93" s="189">
        <f ca="1">S94</f>
        <v>461.53149095186666</v>
      </c>
      <c r="D93" s="118" t="s">
        <v>130</v>
      </c>
      <c r="E93" s="119">
        <f ca="1">[1]!Olekuvorrand($C93,$T94,$Y94,$X94,$W94,E$4,[1]!juhe($T94,6),TRUE)</f>
        <v>125.86790323257446</v>
      </c>
      <c r="F93" s="119">
        <f ca="1">[1]!Olekuvorrand($C93,$T94,$Y94,$X94,$W94,F$4,[1]!juhe($T94,6),TRUE)</f>
        <v>123.97676706314087</v>
      </c>
      <c r="G93" s="119">
        <f ca="1">[1]!Olekuvorrand($C93,$T94,$Y94,$X94,$W94,G$4,[1]!juhe($T94,6),TRUE)</f>
        <v>122.15441465377808</v>
      </c>
      <c r="H93" s="119">
        <f ca="1">[1]!Olekuvorrand($C93,$T94,$Y94,$X94,$W94,H$4,[1]!juhe($T94,6),TRUE)</f>
        <v>120.39750814437866</v>
      </c>
      <c r="I93" s="119">
        <f ca="1">[1]!Olekuvorrand($C93,$T94,$Y94,$X94,$W94,I$4,[1]!juhe($T94,6),TRUE)</f>
        <v>118.70259046554565</v>
      </c>
      <c r="J93" s="119">
        <f ca="1">[1]!Olekuvorrand($C93,$T94,$Y94,$X94,$W94,J$4,[1]!juhe($T94,6),TRUE)</f>
        <v>117.06680059432983</v>
      </c>
      <c r="K93" s="119">
        <f ca="1">[1]!Olekuvorrand($C93,$T94,$Y94,$X94,$W94,K$4,[1]!juhe($T94,6),TRUE)</f>
        <v>115.48715829849243</v>
      </c>
      <c r="L93" s="119">
        <f ca="1">[1]!Olekuvorrand($C93,$T94,$Y94,$X94,$W94,L$4,[1]!juhe($T94,6),TRUE)</f>
        <v>113.96104097366333</v>
      </c>
      <c r="M93" s="119">
        <f ca="1">[1]!Olekuvorrand($C93,$T94,$Y94,$X94,$W94,M$4,[1]!juhe($T94,6),TRUE)</f>
        <v>112.48570680618286</v>
      </c>
      <c r="N93" s="119">
        <f ca="1">[1]!Olekuvorrand($C93,$T94,$Y94,$X94,$W94,N$4,[1]!juhe($T94,6),TRUE)</f>
        <v>111.05889081954956</v>
      </c>
      <c r="O93" s="207">
        <f ca="1">U94</f>
        <v>117.06680059432983</v>
      </c>
      <c r="Q93" s="141" t="s">
        <v>201</v>
      </c>
      <c r="R93"/>
      <c r="S93"/>
      <c r="T93"/>
      <c r="U93"/>
      <c r="V93"/>
      <c r="W93"/>
      <c r="X93"/>
      <c r="Y93"/>
      <c r="Z93"/>
    </row>
    <row r="94" spans="1:29" s="114" customFormat="1" x14ac:dyDescent="0.2">
      <c r="A94" s="187"/>
      <c r="B94" s="188"/>
      <c r="C94" s="189"/>
      <c r="D94" s="118" t="s">
        <v>32</v>
      </c>
      <c r="E94" s="119">
        <f ca="1">E93*[1]!juhe($T94,2)/10</f>
        <v>844.57363069057465</v>
      </c>
      <c r="F94" s="119">
        <f ca="1">F93*[1]!juhe($T94,2)/10</f>
        <v>831.88410699367523</v>
      </c>
      <c r="G94" s="119">
        <f ca="1">G93*[1]!juhe($T94,2)/10</f>
        <v>819.65612232685089</v>
      </c>
      <c r="H94" s="119">
        <f ca="1">H93*[1]!juhe($T94,2)/10</f>
        <v>807.86727964878071</v>
      </c>
      <c r="I94" s="119">
        <f ca="1">I93*[1]!juhe($T94,2)/10</f>
        <v>796.49438202381123</v>
      </c>
      <c r="J94" s="119">
        <f ca="1">J93*[1]!juhe($T94,2)/10</f>
        <v>785.51823198795307</v>
      </c>
      <c r="K94" s="119">
        <f ca="1">K93*[1]!juhe($T94,2)/10</f>
        <v>774.9188321828841</v>
      </c>
      <c r="L94" s="119">
        <f ca="1">L93*[1]!juhe($T94,2)/10</f>
        <v>764.67858493328083</v>
      </c>
      <c r="M94" s="119">
        <f ca="1">M93*[1]!juhe($T94,2)/10</f>
        <v>754.77909266948689</v>
      </c>
      <c r="N94" s="119">
        <f ca="1">N93*[1]!juhe($T94,2)/10</f>
        <v>745.20515739917744</v>
      </c>
      <c r="O94" s="207"/>
      <c r="Q94" s="141" t="s">
        <v>210</v>
      </c>
      <c r="R94" s="129" t="str">
        <f t="shared" ref="R94:Y94" ca="1" si="31">INDIRECT("'"&amp;$S$1&amp;"'!"&amp;$Q94&amp;R$4)</f>
        <v>148Y- 151Y</v>
      </c>
      <c r="S94" s="129">
        <f t="shared" ca="1" si="31"/>
        <v>461.53149095186666</v>
      </c>
      <c r="T94" s="129" t="str">
        <f t="shared" ca="1" si="31"/>
        <v>9,9-S1A - 19</v>
      </c>
      <c r="U94" s="129">
        <f t="shared" ca="1" si="31"/>
        <v>117.06680059432983</v>
      </c>
      <c r="V94" s="129">
        <f t="shared" ca="1" si="31"/>
        <v>6</v>
      </c>
      <c r="W94" s="129">
        <f t="shared" ca="1" si="31"/>
        <v>0.27439526775338363</v>
      </c>
      <c r="X94" s="129">
        <f t="shared" ca="1" si="31"/>
        <v>-5</v>
      </c>
      <c r="Y94" s="129">
        <f t="shared" ca="1" si="31"/>
        <v>434.88997220993042</v>
      </c>
      <c r="Z94">
        <v>1</v>
      </c>
    </row>
    <row r="95" spans="1:29" s="114" customFormat="1" x14ac:dyDescent="0.2">
      <c r="A95" s="187"/>
      <c r="B95" s="188"/>
      <c r="C95" s="189"/>
      <c r="D95" s="118" t="s">
        <v>31</v>
      </c>
      <c r="E95" s="120">
        <f ca="1">[1]!ripe([1]!Olekuvorrand($C93,$T94,$Y94,$X94,$W94,E$4,[1]!juhe($T94,6),TRUE),[1]!juhe($T94,6),$C93,0)</f>
        <v>11.317525332437407</v>
      </c>
      <c r="F95" s="120">
        <f ca="1">[1]!ripe([1]!Olekuvorrand($C93,$T94,$Y94,$X94,$W94,F$4,[1]!juhe($T94,6),TRUE),[1]!juhe($T94,6),$C93,0)</f>
        <v>11.490162367679284</v>
      </c>
      <c r="G95" s="120">
        <f ca="1">[1]!ripe([1]!Olekuvorrand($C93,$T94,$Y94,$X94,$W94,G$4,[1]!juhe($T94,6),TRUE),[1]!juhe($T94,6),$C93,0)</f>
        <v>11.661577581235484</v>
      </c>
      <c r="H95" s="120">
        <f ca="1">[1]!ripe([1]!Olekuvorrand($C93,$T94,$Y94,$X94,$W94,H$4,[1]!juhe($T94,6),TRUE),[1]!juhe($T94,6),$C93,0)</f>
        <v>11.831749720826361</v>
      </c>
      <c r="I95" s="120">
        <f ca="1">[1]!ripe([1]!Olekuvorrand($C93,$T94,$Y94,$X94,$W94,I$4,[1]!juhe($T94,6),TRUE),[1]!juhe($T94,6),$C93,0)</f>
        <v>12.00069162592469</v>
      </c>
      <c r="J95" s="120">
        <f ca="1">[1]!ripe([1]!Olekuvorrand($C93,$T94,$Y94,$X94,$W94,J$4,[1]!juhe($T94,6),TRUE),[1]!juhe($T94,6),$C93,0)</f>
        <v>12.168378875508779</v>
      </c>
      <c r="K95" s="120">
        <f ca="1">[1]!ripe([1]!Olekuvorrand($C93,$T94,$Y94,$X94,$W94,K$4,[1]!juhe($T94,6),TRUE),[1]!juhe($T94,6),$C93,0)</f>
        <v>12.334818904224759</v>
      </c>
      <c r="L95" s="120">
        <f ca="1">[1]!ripe([1]!Olekuvorrand($C93,$T94,$Y94,$X94,$W94,L$4,[1]!juhe($T94,6),TRUE),[1]!juhe($T94,6),$C93,0)</f>
        <v>12.500001502308583</v>
      </c>
      <c r="M95" s="120">
        <f ca="1">[1]!ripe([1]!Olekuvorrand($C93,$T94,$Y94,$X94,$W94,M$4,[1]!juhe($T94,6),TRUE),[1]!juhe($T94,6),$C93,0)</f>
        <v>12.663948370168772</v>
      </c>
      <c r="N95" s="120">
        <f ca="1">[1]!ripe([1]!Olekuvorrand($C93,$T94,$Y94,$X94,$W94,N$4,[1]!juhe($T94,6),TRUE),[1]!juhe($T94,6),$C93,0)</f>
        <v>12.826646951571089</v>
      </c>
      <c r="O95" s="207"/>
      <c r="Q95" s="141" t="s">
        <v>210</v>
      </c>
      <c r="R95"/>
      <c r="S95"/>
      <c r="T95"/>
      <c r="U95"/>
      <c r="V95"/>
      <c r="W95"/>
      <c r="X95"/>
      <c r="Y95"/>
      <c r="Z95"/>
    </row>
    <row r="96" spans="1:29" s="114" customFormat="1" x14ac:dyDescent="0.2">
      <c r="A96" s="187"/>
      <c r="B96" s="188"/>
      <c r="C96" s="189"/>
      <c r="D96" s="118" t="s">
        <v>195</v>
      </c>
      <c r="E96" s="120">
        <f ca="1">[1]!ripe([1]!Olekuvorrand($C93,$T94,$Y94,$X94,$W94,E$4,[1]!juhe($T94,6)),[1]!juhe($T94,6),$C93,0)</f>
        <v>11.317525332437407</v>
      </c>
      <c r="F96" s="120">
        <f ca="1">[1]!ripe([1]!Olekuvorrand($C93,$T94,$Y94,$X94,$W94,F$4,[1]!juhe($T94,6)),[1]!juhe($T94,6),$C93,0)</f>
        <v>11.490162367679284</v>
      </c>
      <c r="G96" s="120">
        <f ca="1">[1]!ripe([1]!Olekuvorrand($C93,$T94,$Y94,$X94,$W94,G$4,[1]!juhe($T94,6)),[1]!juhe($T94,6),$C93,0)</f>
        <v>11.661577581235484</v>
      </c>
      <c r="H96" s="120">
        <f ca="1">[1]!ripe([1]!Olekuvorrand($C93,$T94,$Y94,$X94,$W94,H$4,[1]!juhe($T94,6)),[1]!juhe($T94,6),$C93,0)</f>
        <v>11.831749720826361</v>
      </c>
      <c r="I96" s="120">
        <f ca="1">[1]!ripe([1]!Olekuvorrand($C93,$T94,$Y94,$X94,$W94,I$4,[1]!juhe($T94,6)),[1]!juhe($T94,6),$C93,0)</f>
        <v>12.00069162592469</v>
      </c>
      <c r="J96" s="120">
        <f ca="1">[1]!ripe([1]!Olekuvorrand($C93,$T94,$Y94,$X94,$W94,J$4,[1]!juhe($T94,6)),[1]!juhe($T94,6),$C93,0)</f>
        <v>12.168378875508779</v>
      </c>
      <c r="K96" s="120">
        <f ca="1">[1]!ripe([1]!Olekuvorrand($C93,$T94,$Y94,$X94,$W94,K$4,[1]!juhe($T94,6)),[1]!juhe($T94,6),$C93,0)</f>
        <v>12.334818904224759</v>
      </c>
      <c r="L96" s="120">
        <f ca="1">[1]!ripe([1]!Olekuvorrand($C93,$T94,$Y94,$X94,$W94,L$4,[1]!juhe($T94,6)),[1]!juhe($T94,6),$C93,0)</f>
        <v>12.500001502308583</v>
      </c>
      <c r="M96" s="120">
        <f ca="1">[1]!ripe([1]!Olekuvorrand($C93,$T94,$Y94,$X94,$W94,M$4,[1]!juhe($T94,6)),[1]!juhe($T94,6),$C93,0)</f>
        <v>12.663948370168772</v>
      </c>
      <c r="N96" s="120">
        <f ca="1">[1]!ripe([1]!Olekuvorrand($C93,$T94,$Y94,$X94,$W94,N$4,[1]!juhe($T94,6)),[1]!juhe($T94,6),$C93,0)</f>
        <v>12.826646951571089</v>
      </c>
      <c r="O96" s="207"/>
      <c r="Q96" s="141" t="s">
        <v>210</v>
      </c>
      <c r="R96"/>
      <c r="S96"/>
      <c r="T96"/>
      <c r="U96"/>
      <c r="V96"/>
      <c r="W96"/>
      <c r="X96"/>
      <c r="Y96"/>
      <c r="Z96"/>
      <c r="AC96" s="121"/>
    </row>
    <row r="97" spans="1:29" x14ac:dyDescent="0.2">
      <c r="A97" s="105"/>
      <c r="B97" s="113" t="str">
        <f ca="1">INDIRECT("Visangud!C" &amp; R97)</f>
        <v>148Y-149Y</v>
      </c>
      <c r="C97" s="106">
        <f ca="1">INDIRECT("Visangud!"&amp;Q97&amp;R97)</f>
        <v>455.88600822974109</v>
      </c>
      <c r="D97" s="10" t="s">
        <v>31</v>
      </c>
      <c r="E97" s="12">
        <f ca="1">[1]!ripe(E$93,[1]!juhe($T$8,6),$C97,0)</f>
        <v>11.042345311204761</v>
      </c>
      <c r="F97" s="12">
        <f ca="1">[1]!ripe(F$93,[1]!juhe($T$8,6),$C97,0)</f>
        <v>11.210784762467103</v>
      </c>
      <c r="G97" s="12">
        <f ca="1">[1]!ripe(G$93,[1]!juhe($T$8,6),$C97,0)</f>
        <v>11.37803210003271</v>
      </c>
      <c r="H97" s="12">
        <f ca="1">[1]!ripe(H$93,[1]!juhe($T$8,6),$C97,0)</f>
        <v>11.544066588360584</v>
      </c>
      <c r="I97" s="12">
        <f ca="1">[1]!ripe(I$93,[1]!juhe($T$8,6),$C97,0)</f>
        <v>11.708900754738083</v>
      </c>
      <c r="J97" s="12">
        <f ca="1">[1]!ripe(J$93,[1]!juhe($T$8,6),$C97,0)</f>
        <v>11.872510771928555</v>
      </c>
      <c r="K97" s="12">
        <f ca="1">[1]!ripe(K$93,[1]!juhe($T$8,6),$C97,0)</f>
        <v>12.034903893808394</v>
      </c>
      <c r="L97" s="12">
        <f ca="1">[1]!ripe(L$93,[1]!juhe($T$8,6),$C97,0)</f>
        <v>12.196070158858912</v>
      </c>
      <c r="M97" s="12">
        <f ca="1">[1]!ripe(M$93,[1]!juhe($T$8,6),$C97,0)</f>
        <v>12.35603073985394</v>
      </c>
      <c r="N97" s="12">
        <f ca="1">[1]!ripe(N$93,[1]!juhe($T$8,6),$C97,0)</f>
        <v>12.514773385857863</v>
      </c>
      <c r="O97" s="124"/>
      <c r="Q97" s="141" t="s">
        <v>210</v>
      </c>
      <c r="R97">
        <v>60</v>
      </c>
      <c r="S97"/>
      <c r="T97"/>
      <c r="U97"/>
      <c r="V97"/>
      <c r="W97"/>
      <c r="X97"/>
      <c r="Y97"/>
      <c r="Z97"/>
      <c r="AC97" s="11"/>
    </row>
    <row r="98" spans="1:29" x14ac:dyDescent="0.2">
      <c r="A98" s="108"/>
      <c r="B98" s="113" t="str">
        <f t="shared" ref="B98:B99" ca="1" si="32">INDIRECT("Visangud!C" &amp; R98)</f>
        <v>149Y-150Y</v>
      </c>
      <c r="C98" s="106">
        <f t="shared" ref="C98:C99" ca="1" si="33">INDIRECT("Visangud!"&amp;Q98&amp;R98)</f>
        <v>455.60098968291328</v>
      </c>
      <c r="D98" s="10" t="s">
        <v>31</v>
      </c>
      <c r="E98" s="12">
        <f ca="1">[1]!ripe(E$93,[1]!juhe($T$8,6),$C98,0)</f>
        <v>11.028542345882075</v>
      </c>
      <c r="F98" s="12">
        <f ca="1">[1]!ripe(F$93,[1]!juhe($T$8,6),$C98,0)</f>
        <v>11.19677124731653</v>
      </c>
      <c r="G98" s="12">
        <f ca="1">[1]!ripe(G$93,[1]!juhe($T$8,6),$C98,0)</f>
        <v>11.363809525200008</v>
      </c>
      <c r="H98" s="12">
        <f ca="1">[1]!ripe(H$93,[1]!juhe($T$8,6),$C98,0)</f>
        <v>11.529636469910999</v>
      </c>
      <c r="I98" s="12">
        <f ca="1">[1]!ripe(I$93,[1]!juhe($T$8,6),$C98,0)</f>
        <v>11.694264593077714</v>
      </c>
      <c r="J98" s="12">
        <f ca="1">[1]!ripe(J$93,[1]!juhe($T$8,6),$C98,0)</f>
        <v>11.85767009724762</v>
      </c>
      <c r="K98" s="12">
        <f ca="1">[1]!ripe(K$93,[1]!juhe($T$8,6),$C98,0)</f>
        <v>12.019860227229746</v>
      </c>
      <c r="L98" s="12">
        <f ca="1">[1]!ripe(L$93,[1]!juhe($T$8,6),$C98,0)</f>
        <v>12.180825033957325</v>
      </c>
      <c r="M98" s="12">
        <f ca="1">[1]!ripe(M$93,[1]!juhe($T$8,6),$C98,0)</f>
        <v>12.340585663738166</v>
      </c>
      <c r="N98" s="12">
        <f ca="1">[1]!ripe(N$93,[1]!juhe($T$8,6),$C98,0)</f>
        <v>12.499129880950353</v>
      </c>
      <c r="O98" s="124"/>
      <c r="Q98" s="141" t="s">
        <v>210</v>
      </c>
      <c r="R98">
        <v>61</v>
      </c>
      <c r="S98"/>
      <c r="T98"/>
      <c r="U98"/>
      <c r="V98"/>
      <c r="W98"/>
      <c r="X98"/>
      <c r="Y98"/>
      <c r="Z98"/>
    </row>
    <row r="99" spans="1:29" x14ac:dyDescent="0.2">
      <c r="A99" s="108"/>
      <c r="B99" s="113" t="str">
        <f t="shared" ca="1" si="32"/>
        <v>150Y-151Y</v>
      </c>
      <c r="C99" s="106">
        <f t="shared" ca="1" si="33"/>
        <v>472.49663385054333</v>
      </c>
      <c r="D99" s="10" t="s">
        <v>31</v>
      </c>
      <c r="E99" s="12">
        <f ca="1">[1]!ripe(E$93,[1]!juhe($T$8,6),$C99,0)</f>
        <v>11.861680862192541</v>
      </c>
      <c r="F99" s="12">
        <f ca="1">[1]!ripe(F$93,[1]!juhe($T$8,6),$C99,0)</f>
        <v>12.042618422028619</v>
      </c>
      <c r="G99" s="12">
        <f ca="1">[1]!ripe(G$93,[1]!juhe($T$8,6),$C99,0)</f>
        <v>12.222275414030275</v>
      </c>
      <c r="H99" s="12">
        <f ca="1">[1]!ripe(H$93,[1]!juhe($T$8,6),$C99,0)</f>
        <v>12.400629564091517</v>
      </c>
      <c r="I99" s="12">
        <f ca="1">[1]!ripe(I$93,[1]!juhe($T$8,6),$C99,0)</f>
        <v>12.577694329017087</v>
      </c>
      <c r="J99" s="12">
        <f ca="1">[1]!ripe(J$93,[1]!juhe($T$8,6),$C99,0)</f>
        <v>12.753444113603335</v>
      </c>
      <c r="K99" s="12">
        <f ca="1">[1]!ripe(K$93,[1]!juhe($T$8,6),$C99,0)</f>
        <v>12.927886709960037</v>
      </c>
      <c r="L99" s="12">
        <f ca="1">[1]!ripe(L$93,[1]!juhe($T$8,6),$C99,0)</f>
        <v>13.101011417429648</v>
      </c>
      <c r="M99" s="12">
        <f ca="1">[1]!ripe(M$93,[1]!juhe($T$8,6),$C99,0)</f>
        <v>13.272840979793417</v>
      </c>
      <c r="N99" s="12">
        <f ca="1">[1]!ripe(N$93,[1]!juhe($T$8,6),$C99,0)</f>
        <v>13.443362237103482</v>
      </c>
      <c r="O99" s="124"/>
      <c r="Q99" s="141" t="s">
        <v>210</v>
      </c>
      <c r="R99">
        <v>62</v>
      </c>
      <c r="S99"/>
      <c r="T99"/>
      <c r="U99"/>
      <c r="V99"/>
      <c r="W99"/>
      <c r="X99"/>
      <c r="Y99"/>
      <c r="Z99"/>
    </row>
    <row r="100" spans="1:29" s="114" customFormat="1" hidden="1" x14ac:dyDescent="0.2">
      <c r="A100" s="187">
        <v>11</v>
      </c>
      <c r="B100" s="188" t="str">
        <f ca="1">R101</f>
        <v>151Y- 154Y</v>
      </c>
      <c r="C100" s="189">
        <f ca="1">S101</f>
        <v>407.59018580213103</v>
      </c>
      <c r="D100" s="118" t="s">
        <v>130</v>
      </c>
      <c r="E100" s="119">
        <f ca="1">[1]!Olekuvorrand($C100,$T101,$Y101,$X101,$W101,E$4,[1]!juhe($T101,6),TRUE)</f>
        <v>133.0217719078064</v>
      </c>
      <c r="F100" s="119">
        <f ca="1">[1]!Olekuvorrand($C100,$T101,$Y101,$X101,$W101,F$4,[1]!juhe($T101,6),TRUE)</f>
        <v>130.4137110710144</v>
      </c>
      <c r="G100" s="119">
        <f ca="1">[1]!Olekuvorrand($C100,$T101,$Y101,$X101,$W101,G$4,[1]!juhe($T101,6),TRUE)</f>
        <v>127.91925668716431</v>
      </c>
      <c r="H100" s="119">
        <f ca="1">[1]!Olekuvorrand($C100,$T101,$Y101,$X101,$W101,H$4,[1]!juhe($T101,6),TRUE)</f>
        <v>125.53232908248901</v>
      </c>
      <c r="I100" s="119">
        <f ca="1">[1]!Olekuvorrand($C100,$T101,$Y101,$X101,$W101,I$4,[1]!juhe($T101,6),TRUE)</f>
        <v>123.24696779251099</v>
      </c>
      <c r="J100" s="119">
        <f ca="1">[1]!Olekuvorrand($C100,$T101,$Y101,$X101,$W101,J$4,[1]!juhe($T101,6),TRUE)</f>
        <v>121.05768918991089</v>
      </c>
      <c r="K100" s="119">
        <f ca="1">[1]!Olekuvorrand($C100,$T101,$Y101,$X101,$W101,K$4,[1]!juhe($T101,6),TRUE)</f>
        <v>118.95924806594849</v>
      </c>
      <c r="L100" s="119">
        <f ca="1">[1]!Olekuvorrand($C100,$T101,$Y101,$X101,$W101,L$4,[1]!juhe($T101,6),TRUE)</f>
        <v>116.94663763046265</v>
      </c>
      <c r="M100" s="119">
        <f ca="1">[1]!Olekuvorrand($C100,$T101,$Y101,$X101,$W101,M$4,[1]!juhe($T101,6),TRUE)</f>
        <v>115.01520872116089</v>
      </c>
      <c r="N100" s="119">
        <f ca="1">[1]!Olekuvorrand($C100,$T101,$Y101,$X101,$W101,N$4,[1]!juhe($T101,6),TRUE)</f>
        <v>113.16055059432983</v>
      </c>
      <c r="O100" s="207">
        <f ca="1">U101</f>
        <v>121.05768918991089</v>
      </c>
      <c r="Q100" s="141" t="s">
        <v>214</v>
      </c>
      <c r="R100"/>
      <c r="S100"/>
      <c r="T100"/>
      <c r="U100"/>
      <c r="V100"/>
      <c r="W100"/>
      <c r="X100"/>
      <c r="Y100"/>
      <c r="Z100"/>
    </row>
    <row r="101" spans="1:29" s="114" customFormat="1" x14ac:dyDescent="0.2">
      <c r="A101" s="187"/>
      <c r="B101" s="188"/>
      <c r="C101" s="189"/>
      <c r="D101" s="118" t="s">
        <v>32</v>
      </c>
      <c r="E101" s="119">
        <f ca="1">E100*[1]!juhe($T101,2)/10</f>
        <v>892.57608950138092</v>
      </c>
      <c r="F101" s="119">
        <f ca="1">F100*[1]!juhe($T101,2)/10</f>
        <v>875.07600128650665</v>
      </c>
      <c r="G101" s="119">
        <f ca="1">G100*[1]!juhe($T101,2)/10</f>
        <v>858.3382123708725</v>
      </c>
      <c r="H101" s="119">
        <f ca="1">H100*[1]!juhe($T101,2)/10</f>
        <v>842.32192814350128</v>
      </c>
      <c r="I101" s="119">
        <f ca="1">I100*[1]!juhe($T101,2)/10</f>
        <v>826.98715388774872</v>
      </c>
      <c r="J101" s="119">
        <f ca="1">J100*[1]!juhe($T101,2)/10</f>
        <v>812.29709446430195</v>
      </c>
      <c r="K101" s="119">
        <f ca="1">K100*[1]!juhe($T101,2)/10</f>
        <v>798.21655452251423</v>
      </c>
      <c r="L101" s="119">
        <f ca="1">L100*[1]!juhe($T101,2)/10</f>
        <v>784.71193850040424</v>
      </c>
      <c r="M101" s="119">
        <f ca="1">M100*[1]!juhe($T101,2)/10</f>
        <v>771.75205051898945</v>
      </c>
      <c r="N101" s="119">
        <f ca="1">N100*[1]!juhe($T101,2)/10</f>
        <v>759.30729448795307</v>
      </c>
      <c r="O101" s="207"/>
      <c r="Q101" s="141" t="s">
        <v>211</v>
      </c>
      <c r="R101" s="129" t="str">
        <f t="shared" ref="R101:Y101" ca="1" si="34">INDIRECT("'"&amp;$S$1&amp;"'!"&amp;$Q101&amp;R$4)</f>
        <v>151Y- 154Y</v>
      </c>
      <c r="S101" s="129">
        <f t="shared" ca="1" si="34"/>
        <v>407.59018580213103</v>
      </c>
      <c r="T101" s="129" t="str">
        <f t="shared" ca="1" si="34"/>
        <v>9,9-S1A - 19</v>
      </c>
      <c r="U101" s="129">
        <f t="shared" ca="1" si="34"/>
        <v>121.05768918991089</v>
      </c>
      <c r="V101" s="129">
        <f t="shared" ca="1" si="34"/>
        <v>6</v>
      </c>
      <c r="W101" s="129">
        <f t="shared" ca="1" si="34"/>
        <v>0.27755668870175626</v>
      </c>
      <c r="X101" s="129">
        <f t="shared" ca="1" si="34"/>
        <v>-5</v>
      </c>
      <c r="Y101" s="129">
        <f t="shared" ca="1" si="34"/>
        <v>424.96353387832642</v>
      </c>
      <c r="Z101">
        <v>1</v>
      </c>
    </row>
    <row r="102" spans="1:29" s="114" customFormat="1" x14ac:dyDescent="0.2">
      <c r="A102" s="187"/>
      <c r="B102" s="188"/>
      <c r="C102" s="189"/>
      <c r="D102" s="118" t="s">
        <v>31</v>
      </c>
      <c r="E102" s="120">
        <f ca="1">[1]!ripe([1]!Olekuvorrand($C100,$T101,$Y101,$X101,$W101,E$4,[1]!juhe($T101,6),TRUE),[1]!juhe($T101,6),$C100,0)</f>
        <v>8.3519618716424482</v>
      </c>
      <c r="F102" s="120">
        <f ca="1">[1]!ripe([1]!Olekuvorrand($C100,$T101,$Y101,$X101,$W101,F$4,[1]!juhe($T101,6),TRUE),[1]!juhe($T101,6),$C100,0)</f>
        <v>8.5189874434854982</v>
      </c>
      <c r="G102" s="120">
        <f ca="1">[1]!ripe([1]!Olekuvorrand($C100,$T101,$Y101,$X101,$W101,G$4,[1]!juhe($T101,6),TRUE),[1]!juhe($T101,6),$C100,0)</f>
        <v>8.6851096218400468</v>
      </c>
      <c r="H102" s="120">
        <f ca="1">[1]!ripe([1]!Olekuvorrand($C100,$T101,$Y101,$X101,$W101,H$4,[1]!juhe($T101,6),TRUE),[1]!juhe($T101,6),$C100,0)</f>
        <v>8.8502521636658944</v>
      </c>
      <c r="I102" s="120">
        <f ca="1">[1]!ripe([1]!Olekuvorrand($C100,$T101,$Y101,$X101,$W101,I$4,[1]!juhe($T101,6),TRUE),[1]!juhe($T101,6),$C100,0)</f>
        <v>9.01436187008429</v>
      </c>
      <c r="J102" s="120">
        <f ca="1">[1]!ripe([1]!Olekuvorrand($C100,$T101,$Y101,$X101,$W101,J$4,[1]!juhe($T101,6),TRUE),[1]!juhe($T101,6),$C100,0)</f>
        <v>9.1773829031994207</v>
      </c>
      <c r="K102" s="120">
        <f ca="1">[1]!ripe([1]!Olekuvorrand($C100,$T101,$Y101,$X101,$W101,K$4,[1]!juhe($T101,6),TRUE),[1]!juhe($T101,6),$C100,0)</f>
        <v>9.3392719366921906</v>
      </c>
      <c r="L102" s="120">
        <f ca="1">[1]!ripe([1]!Olekuvorrand($C100,$T101,$Y101,$X101,$W101,L$4,[1]!juhe($T101,6),TRUE),[1]!juhe($T101,6),$C100,0)</f>
        <v>9.4999975166701365</v>
      </c>
      <c r="M102" s="120">
        <f ca="1">[1]!ripe([1]!Olekuvorrand($C100,$T101,$Y101,$X101,$W101,M$4,[1]!juhe($T101,6),TRUE),[1]!juhe($T101,6),$C100,0)</f>
        <v>9.6595291998797492</v>
      </c>
      <c r="N102" s="120">
        <f ca="1">[1]!ripe([1]!Olekuvorrand($C100,$T101,$Y101,$X101,$W101,N$4,[1]!juhe($T101,6),TRUE),[1]!juhe($T101,6),$C100,0)</f>
        <v>9.8178451875435311</v>
      </c>
      <c r="O102" s="207"/>
      <c r="Q102" s="141" t="s">
        <v>211</v>
      </c>
      <c r="R102"/>
      <c r="S102"/>
      <c r="T102"/>
      <c r="U102"/>
      <c r="V102"/>
      <c r="W102"/>
      <c r="X102"/>
      <c r="Y102"/>
      <c r="Z102"/>
    </row>
    <row r="103" spans="1:29" s="114" customFormat="1" x14ac:dyDescent="0.2">
      <c r="A103" s="187"/>
      <c r="B103" s="188"/>
      <c r="C103" s="189"/>
      <c r="D103" s="118" t="s">
        <v>195</v>
      </c>
      <c r="E103" s="120">
        <f ca="1">[1]!ripe([1]!Olekuvorrand($C100,$T101,$Y101,$X101,$W101,E$4,[1]!juhe($T101,6)),[1]!juhe($T101,6),$C100,0)</f>
        <v>8.3519618716424482</v>
      </c>
      <c r="F103" s="120">
        <f ca="1">[1]!ripe([1]!Olekuvorrand($C100,$T101,$Y101,$X101,$W101,F$4,[1]!juhe($T101,6)),[1]!juhe($T101,6),$C100,0)</f>
        <v>8.5189874434854982</v>
      </c>
      <c r="G103" s="120">
        <f ca="1">[1]!ripe([1]!Olekuvorrand($C100,$T101,$Y101,$X101,$W101,G$4,[1]!juhe($T101,6)),[1]!juhe($T101,6),$C100,0)</f>
        <v>8.6851096218400468</v>
      </c>
      <c r="H103" s="120">
        <f ca="1">[1]!ripe([1]!Olekuvorrand($C100,$T101,$Y101,$X101,$W101,H$4,[1]!juhe($T101,6)),[1]!juhe($T101,6),$C100,0)</f>
        <v>8.8502521636658944</v>
      </c>
      <c r="I103" s="120">
        <f ca="1">[1]!ripe([1]!Olekuvorrand($C100,$T101,$Y101,$X101,$W101,I$4,[1]!juhe($T101,6)),[1]!juhe($T101,6),$C100,0)</f>
        <v>9.01436187008429</v>
      </c>
      <c r="J103" s="120">
        <f ca="1">[1]!ripe([1]!Olekuvorrand($C100,$T101,$Y101,$X101,$W101,J$4,[1]!juhe($T101,6)),[1]!juhe($T101,6),$C100,0)</f>
        <v>9.1773829031994207</v>
      </c>
      <c r="K103" s="120">
        <f ca="1">[1]!ripe([1]!Olekuvorrand($C100,$T101,$Y101,$X101,$W101,K$4,[1]!juhe($T101,6)),[1]!juhe($T101,6),$C100,0)</f>
        <v>9.3392719366921906</v>
      </c>
      <c r="L103" s="120">
        <f ca="1">[1]!ripe([1]!Olekuvorrand($C100,$T101,$Y101,$X101,$W101,L$4,[1]!juhe($T101,6)),[1]!juhe($T101,6),$C100,0)</f>
        <v>9.4999975166701365</v>
      </c>
      <c r="M103" s="120">
        <f ca="1">[1]!ripe([1]!Olekuvorrand($C100,$T101,$Y101,$X101,$W101,M$4,[1]!juhe($T101,6)),[1]!juhe($T101,6),$C100,0)</f>
        <v>9.6595291998797492</v>
      </c>
      <c r="N103" s="120">
        <f ca="1">[1]!ripe([1]!Olekuvorrand($C100,$T101,$Y101,$X101,$W101,N$4,[1]!juhe($T101,6)),[1]!juhe($T101,6),$C100,0)</f>
        <v>9.8178451875435311</v>
      </c>
      <c r="O103" s="207"/>
      <c r="Q103" s="141" t="s">
        <v>211</v>
      </c>
      <c r="R103"/>
      <c r="S103"/>
      <c r="T103"/>
      <c r="U103"/>
      <c r="V103"/>
      <c r="W103"/>
      <c r="X103"/>
      <c r="Y103"/>
      <c r="Z103"/>
    </row>
    <row r="104" spans="1:29" x14ac:dyDescent="0.2">
      <c r="A104" s="105"/>
      <c r="B104" s="113" t="str">
        <f ca="1">INDIRECT("Visangud!C" &amp; R104)</f>
        <v>151Y-152Y</v>
      </c>
      <c r="C104" s="106">
        <f ca="1">INDIRECT("Visangud!"&amp;Q104&amp;R104)</f>
        <v>247.1419107672823</v>
      </c>
      <c r="D104" s="10" t="s">
        <v>31</v>
      </c>
      <c r="E104" s="12">
        <f ca="1">[1]!ripe(E$100,[1]!juhe($T$8,6),$C104,0)</f>
        <v>3.0706750953444493</v>
      </c>
      <c r="F104" s="12">
        <f ca="1">[1]!ripe(F$100,[1]!juhe($T$8,6),$C104,0)</f>
        <v>3.1320835729723844</v>
      </c>
      <c r="G104" s="12">
        <f ca="1">[1]!ripe(G$100,[1]!juhe($T$8,6),$C104,0)</f>
        <v>3.1931599097298178</v>
      </c>
      <c r="H104" s="12">
        <f ca="1">[1]!ripe(H$100,[1]!juhe($T$8,6),$C104,0)</f>
        <v>3.2538760741663766</v>
      </c>
      <c r="I104" s="12">
        <f ca="1">[1]!ripe(I$100,[1]!juhe($T$8,6),$C104,0)</f>
        <v>3.3142125072281994</v>
      </c>
      <c r="J104" s="12">
        <f ca="1">[1]!ripe(J$100,[1]!juhe($T$8,6),$C104,0)</f>
        <v>3.3741486796026927</v>
      </c>
      <c r="K104" s="12">
        <f ca="1">[1]!ripe(K$100,[1]!juhe($T$8,6),$C104,0)</f>
        <v>3.4336686619727601</v>
      </c>
      <c r="L104" s="12">
        <f ca="1">[1]!ripe(L$100,[1]!juhe($T$8,6),$C104,0)</f>
        <v>3.4927608900274381</v>
      </c>
      <c r="M104" s="12">
        <f ca="1">[1]!ripe(M$100,[1]!juhe($T$8,6),$C104,0)</f>
        <v>3.5514141710264089</v>
      </c>
      <c r="N104" s="12">
        <f ca="1">[1]!ripe(N$100,[1]!juhe($T$8,6),$C104,0)</f>
        <v>3.6096204904499478</v>
      </c>
      <c r="O104" s="124"/>
      <c r="Q104" s="141" t="s">
        <v>211</v>
      </c>
      <c r="R104">
        <v>63</v>
      </c>
      <c r="S104"/>
      <c r="T104"/>
      <c r="U104"/>
      <c r="V104"/>
      <c r="W104"/>
      <c r="X104"/>
      <c r="Y104"/>
      <c r="Z104"/>
    </row>
    <row r="105" spans="1:29" x14ac:dyDescent="0.2">
      <c r="A105" s="108"/>
      <c r="B105" s="113" t="str">
        <f t="shared" ref="B105:B106" ca="1" si="35">INDIRECT("Visangud!C" &amp; R105)</f>
        <v>152Y-153Y</v>
      </c>
      <c r="C105" s="106">
        <f t="shared" ref="C105:C106" ca="1" si="36">INDIRECT("Visangud!"&amp;Q105&amp;R105)</f>
        <v>420.36242601072905</v>
      </c>
      <c r="D105" s="10" t="s">
        <v>31</v>
      </c>
      <c r="E105" s="12">
        <f ca="1">[1]!ripe(E$100,[1]!juhe($T$8,6),$C105,0)</f>
        <v>8.8835969449789189</v>
      </c>
      <c r="F105" s="12">
        <f ca="1">[1]!ripe(F$100,[1]!juhe($T$8,6),$C105,0)</f>
        <v>9.0612543484204053</v>
      </c>
      <c r="G105" s="12">
        <f ca="1">[1]!ripe(G$100,[1]!juhe($T$8,6),$C105,0)</f>
        <v>9.2379508538408128</v>
      </c>
      <c r="H105" s="12">
        <f ca="1">[1]!ripe(H$100,[1]!juhe($T$8,6),$C105,0)</f>
        <v>9.4136053650319234</v>
      </c>
      <c r="I105" s="12">
        <f ca="1">[1]!ripe(I$100,[1]!juhe($T$8,6),$C105,0)</f>
        <v>9.5881612967980665</v>
      </c>
      <c r="J105" s="12">
        <f ca="1">[1]!ripe(J$100,[1]!juhe($T$8,6),$C105,0)</f>
        <v>9.7615592569427392</v>
      </c>
      <c r="K105" s="12">
        <f ca="1">[1]!ripe(K$100,[1]!juhe($T$8,6),$C105,0)</f>
        <v>9.9337531612570018</v>
      </c>
      <c r="L105" s="12">
        <f ca="1">[1]!ripe(L$100,[1]!juhe($T$8,6),$C105,0)</f>
        <v>10.104709553684982</v>
      </c>
      <c r="M105" s="12">
        <f ca="1">[1]!ripe(M$100,[1]!juhe($T$8,6),$C105,0)</f>
        <v>10.274396053140894</v>
      </c>
      <c r="N105" s="12">
        <f ca="1">[1]!ripe(N$100,[1]!juhe($T$8,6),$C105,0)</f>
        <v>10.442789473269706</v>
      </c>
      <c r="O105" s="124"/>
      <c r="Q105" s="141" t="s">
        <v>211</v>
      </c>
      <c r="R105">
        <v>64</v>
      </c>
      <c r="S105"/>
      <c r="T105"/>
      <c r="U105"/>
      <c r="V105"/>
      <c r="W105"/>
      <c r="X105"/>
      <c r="Y105"/>
      <c r="Z105"/>
    </row>
    <row r="106" spans="1:29" x14ac:dyDescent="0.2">
      <c r="A106" s="108"/>
      <c r="B106" s="113" t="str">
        <f t="shared" ca="1" si="35"/>
        <v>153Y-154Y</v>
      </c>
      <c r="C106" s="106">
        <f t="shared" ca="1" si="36"/>
        <v>461.2772269470675</v>
      </c>
      <c r="D106" s="10" t="s">
        <v>31</v>
      </c>
      <c r="E106" s="12">
        <f ca="1">[1]!ripe(E$100,[1]!juhe($T$8,6),$C106,0)</f>
        <v>10.697076333901148</v>
      </c>
      <c r="F106" s="12">
        <f ca="1">[1]!ripe(F$100,[1]!juhe($T$8,6),$C106,0)</f>
        <v>10.911000357882264</v>
      </c>
      <c r="G106" s="12">
        <f ca="1">[1]!ripe(G$100,[1]!juhe($T$8,6),$C106,0)</f>
        <v>11.123767328077147</v>
      </c>
      <c r="H106" s="12">
        <f ca="1">[1]!ripe(H$100,[1]!juhe($T$8,6),$C106,0)</f>
        <v>11.335279593462783</v>
      </c>
      <c r="I106" s="12">
        <f ca="1">[1]!ripe(I$100,[1]!juhe($T$8,6),$C106,0)</f>
        <v>11.545469017656892</v>
      </c>
      <c r="J106" s="12">
        <f ca="1">[1]!ripe(J$100,[1]!juhe($T$8,6),$C106,0)</f>
        <v>11.754264084260932</v>
      </c>
      <c r="K106" s="12">
        <f ca="1">[1]!ripe(K$100,[1]!juhe($T$8,6),$C106,0)</f>
        <v>11.961609301529398</v>
      </c>
      <c r="L106" s="12">
        <f ca="1">[1]!ripe(L$100,[1]!juhe($T$8,6),$C106,0)</f>
        <v>12.167464383755307</v>
      </c>
      <c r="M106" s="12">
        <f ca="1">[1]!ripe(M$100,[1]!juhe($T$8,6),$C106,0)</f>
        <v>12.371790339643963</v>
      </c>
      <c r="N106" s="12">
        <f ca="1">[1]!ripe(N$100,[1]!juhe($T$8,6),$C106,0)</f>
        <v>12.57455924962504</v>
      </c>
      <c r="O106" s="124"/>
      <c r="Q106" s="141" t="s">
        <v>211</v>
      </c>
      <c r="R106">
        <v>65</v>
      </c>
      <c r="S106"/>
      <c r="T106"/>
      <c r="U106"/>
      <c r="V106"/>
      <c r="W106"/>
      <c r="X106"/>
      <c r="Y106"/>
      <c r="Z106"/>
    </row>
    <row r="107" spans="1:29" s="114" customFormat="1" hidden="1" x14ac:dyDescent="0.2">
      <c r="A107" s="187">
        <v>12</v>
      </c>
      <c r="B107" s="188" t="str">
        <f ca="1">R108</f>
        <v>154Y- 156Y</v>
      </c>
      <c r="C107" s="189">
        <f ca="1">S108</f>
        <v>360.03370480776539</v>
      </c>
      <c r="D107" s="118" t="s">
        <v>130</v>
      </c>
      <c r="E107" s="119">
        <f ca="1">[1]!Olekuvorrand($C107,$T108,$Y108,$X108,$W108,E$4,[1]!juhe($T108,6),TRUE)</f>
        <v>141.87103509902954</v>
      </c>
      <c r="F107" s="119">
        <f ca="1">[1]!Olekuvorrand($C107,$T108,$Y108,$X108,$W108,F$4,[1]!juhe($T108,6),TRUE)</f>
        <v>138.32288980484009</v>
      </c>
      <c r="G107" s="119">
        <f ca="1">[1]!Olekuvorrand($C107,$T108,$Y108,$X108,$W108,G$4,[1]!juhe($T108,6),TRUE)</f>
        <v>134.94950532913208</v>
      </c>
      <c r="H107" s="119">
        <f ca="1">[1]!Olekuvorrand($C107,$T108,$Y108,$X108,$W108,H$4,[1]!juhe($T108,6),TRUE)</f>
        <v>131.74206018447876</v>
      </c>
      <c r="I107" s="119">
        <f ca="1">[1]!Olekuvorrand($C107,$T108,$Y108,$X108,$W108,I$4,[1]!juhe($T108,6),TRUE)</f>
        <v>128.69149446487427</v>
      </c>
      <c r="J107" s="119">
        <f ca="1">[1]!Olekuvorrand($C107,$T108,$Y108,$X108,$W108,J$4,[1]!juhe($T108,6),TRUE)</f>
        <v>125.78946352005005</v>
      </c>
      <c r="K107" s="119">
        <f ca="1">[1]!Olekuvorrand($C107,$T108,$Y108,$X108,$W108,K$4,[1]!juhe($T108,6),TRUE)</f>
        <v>123.027503490448</v>
      </c>
      <c r="L107" s="119">
        <f ca="1">[1]!Olekuvorrand($C107,$T108,$Y108,$X108,$W108,L$4,[1]!juhe($T108,6),TRUE)</f>
        <v>120.39750814437866</v>
      </c>
      <c r="M107" s="119">
        <f ca="1">[1]!Olekuvorrand($C107,$T108,$Y108,$X108,$W108,M$4,[1]!juhe($T108,6),TRUE)</f>
        <v>117.89196729660034</v>
      </c>
      <c r="N107" s="119">
        <f ca="1">[1]!Olekuvorrand($C107,$T108,$Y108,$X108,$W108,N$4,[1]!juhe($T108,6),TRUE)</f>
        <v>115.50360918045044</v>
      </c>
      <c r="O107" s="207">
        <f ca="1">U108</f>
        <v>125.78946352005005</v>
      </c>
      <c r="Q107" s="141" t="s">
        <v>212</v>
      </c>
      <c r="R107"/>
      <c r="S107"/>
      <c r="T107"/>
      <c r="U107"/>
      <c r="V107"/>
      <c r="W107"/>
      <c r="X107"/>
      <c r="Y107"/>
      <c r="Z107"/>
    </row>
    <row r="108" spans="1:29" s="114" customFormat="1" x14ac:dyDescent="0.2">
      <c r="A108" s="187"/>
      <c r="B108" s="188"/>
      <c r="C108" s="189"/>
      <c r="D108" s="118" t="s">
        <v>32</v>
      </c>
      <c r="E108" s="119">
        <f ca="1">E107*[1]!juhe($T108,2)/10</f>
        <v>951.95464551448822</v>
      </c>
      <c r="F108" s="119">
        <f ca="1">F107*[1]!juhe($T108,2)/10</f>
        <v>928.14659059047699</v>
      </c>
      <c r="G108" s="119">
        <f ca="1">G107*[1]!juhe($T108,2)/10</f>
        <v>905.51118075847626</v>
      </c>
      <c r="H108" s="119">
        <f ca="1">H107*[1]!juhe($T108,2)/10</f>
        <v>883.98922383785248</v>
      </c>
      <c r="I108" s="119">
        <f ca="1">I107*[1]!juhe($T108,2)/10</f>
        <v>863.51992785930634</v>
      </c>
      <c r="J108" s="119">
        <f ca="1">J107*[1]!juhe($T108,2)/10</f>
        <v>844.04730021953583</v>
      </c>
      <c r="K108" s="119">
        <f ca="1">K107*[1]!juhe($T108,2)/10</f>
        <v>825.51454842090607</v>
      </c>
      <c r="L108" s="119">
        <f ca="1">L107*[1]!juhe($T108,2)/10</f>
        <v>807.86727964878071</v>
      </c>
      <c r="M108" s="119">
        <f ca="1">M107*[1]!juhe($T108,2)/10</f>
        <v>791.05510056018818</v>
      </c>
      <c r="N108" s="119">
        <f ca="1">N107*[1]!juhe($T108,2)/10</f>
        <v>775.02921760082234</v>
      </c>
      <c r="O108" s="207"/>
      <c r="Q108" s="141" t="s">
        <v>212</v>
      </c>
      <c r="R108" s="129" t="str">
        <f t="shared" ref="R108:Y108" ca="1" si="37">INDIRECT("'"&amp;$S$1&amp;"'!"&amp;$Q108&amp;R$4)</f>
        <v>154Y- 156Y</v>
      </c>
      <c r="S108" s="129">
        <f t="shared" ca="1" si="37"/>
        <v>360.03370480776539</v>
      </c>
      <c r="T108" s="129" t="str">
        <f t="shared" ca="1" si="37"/>
        <v>9,9-S1A - 19</v>
      </c>
      <c r="U108" s="129">
        <f t="shared" ca="1" si="37"/>
        <v>125.78946352005005</v>
      </c>
      <c r="V108" s="129">
        <f t="shared" ca="1" si="37"/>
        <v>6</v>
      </c>
      <c r="W108" s="129">
        <f t="shared" ca="1" si="37"/>
        <v>0.28071630358730165</v>
      </c>
      <c r="X108" s="129">
        <f t="shared" ca="1" si="37"/>
        <v>-5</v>
      </c>
      <c r="Y108" s="129">
        <f t="shared" ca="1" si="37"/>
        <v>413.67143392562866</v>
      </c>
      <c r="Z108">
        <v>1</v>
      </c>
    </row>
    <row r="109" spans="1:29" s="114" customFormat="1" x14ac:dyDescent="0.2">
      <c r="A109" s="187"/>
      <c r="B109" s="188"/>
      <c r="C109" s="189"/>
      <c r="D109" s="118" t="s">
        <v>31</v>
      </c>
      <c r="E109" s="120">
        <f ca="1">[1]!ripe([1]!Olekuvorrand($C107,$T108,$Y108,$X108,$W108,E$4,[1]!juhe($T108,6),TRUE),[1]!juhe($T108,6),$C107,0)</f>
        <v>6.1102133754179819</v>
      </c>
      <c r="F109" s="120">
        <f ca="1">[1]!ripe([1]!Olekuvorrand($C107,$T108,$Y108,$X108,$W108,F$4,[1]!juhe($T108,6),TRUE),[1]!juhe($T108,6),$C107,0)</f>
        <v>6.2669475563266595</v>
      </c>
      <c r="G109" s="120">
        <f ca="1">[1]!ripe([1]!Olekuvorrand($C107,$T108,$Y108,$X108,$W108,G$4,[1]!juhe($T108,6),TRUE),[1]!juhe($T108,6),$C107,0)</f>
        <v>6.4236048448808312</v>
      </c>
      <c r="H109" s="120">
        <f ca="1">[1]!ripe([1]!Olekuvorrand($C107,$T108,$Y108,$X108,$W108,H$4,[1]!juhe($T108,6),TRUE),[1]!juhe($T108,6),$C107,0)</f>
        <v>6.5799965100941549</v>
      </c>
      <c r="I109" s="120">
        <f ca="1">[1]!ripe([1]!Olekuvorrand($C107,$T108,$Y108,$X108,$W108,I$4,[1]!juhe($T108,6),TRUE),[1]!juhe($T108,6),$C107,0)</f>
        <v>6.73597194477441</v>
      </c>
      <c r="J109" s="120">
        <f ca="1">[1]!ripe([1]!Olekuvorrand($C107,$T108,$Y108,$X108,$W108,J$4,[1]!juhe($T108,6),TRUE),[1]!juhe($T108,6),$C107,0)</f>
        <v>6.8913744600581106</v>
      </c>
      <c r="K109" s="120">
        <f ca="1">[1]!ripe([1]!Olekuvorrand($C107,$T108,$Y108,$X108,$W108,K$4,[1]!juhe($T108,6),TRUE),[1]!juhe($T108,6),$C107,0)</f>
        <v>7.0460854008452554</v>
      </c>
      <c r="L109" s="120">
        <f ca="1">[1]!ripe([1]!Olekuvorrand($C107,$T108,$Y108,$X108,$W108,L$4,[1]!juhe($T108,6),TRUE),[1]!juhe($T108,6),$C107,0)</f>
        <v>7.2000019735205623</v>
      </c>
      <c r="M109" s="120">
        <f ca="1">[1]!ripe([1]!Olekuvorrand($C107,$T108,$Y108,$X108,$W108,M$4,[1]!juhe($T108,6),TRUE),[1]!juhe($T108,6),$C107,0)</f>
        <v>7.3530225690913724</v>
      </c>
      <c r="N109" s="120">
        <f ca="1">[1]!ripe([1]!Olekuvorrand($C107,$T108,$Y108,$X108,$W108,N$4,[1]!juhe($T108,6),TRUE),[1]!juhe($T108,6),$C107,0)</f>
        <v>7.5050667455091533</v>
      </c>
      <c r="O109" s="207"/>
      <c r="Q109" s="141" t="s">
        <v>212</v>
      </c>
      <c r="R109"/>
      <c r="S109"/>
      <c r="T109"/>
      <c r="U109"/>
      <c r="V109"/>
      <c r="W109"/>
      <c r="X109"/>
      <c r="Y109"/>
      <c r="Z109"/>
    </row>
    <row r="110" spans="1:29" s="114" customFormat="1" x14ac:dyDescent="0.2">
      <c r="A110" s="187"/>
      <c r="B110" s="188"/>
      <c r="C110" s="189"/>
      <c r="D110" s="118" t="s">
        <v>195</v>
      </c>
      <c r="E110" s="120">
        <f ca="1">[1]!ripe([1]!Olekuvorrand($C107,$T108,$Y108,$X108,$W108,E$4,[1]!juhe($T108,6)),[1]!juhe($T108,6),$C107,0)</f>
        <v>6.1102133754179819</v>
      </c>
      <c r="F110" s="120">
        <f ca="1">[1]!ripe([1]!Olekuvorrand($C107,$T108,$Y108,$X108,$W108,F$4,[1]!juhe($T108,6)),[1]!juhe($T108,6),$C107,0)</f>
        <v>6.2669475563266595</v>
      </c>
      <c r="G110" s="120">
        <f ca="1">[1]!ripe([1]!Olekuvorrand($C107,$T108,$Y108,$X108,$W108,G$4,[1]!juhe($T108,6)),[1]!juhe($T108,6),$C107,0)</f>
        <v>6.4236048448808312</v>
      </c>
      <c r="H110" s="120">
        <f ca="1">[1]!ripe([1]!Olekuvorrand($C107,$T108,$Y108,$X108,$W108,H$4,[1]!juhe($T108,6)),[1]!juhe($T108,6),$C107,0)</f>
        <v>6.5799965100941549</v>
      </c>
      <c r="I110" s="120">
        <f ca="1">[1]!ripe([1]!Olekuvorrand($C107,$T108,$Y108,$X108,$W108,I$4,[1]!juhe($T108,6)),[1]!juhe($T108,6),$C107,0)</f>
        <v>6.73597194477441</v>
      </c>
      <c r="J110" s="120">
        <f ca="1">[1]!ripe([1]!Olekuvorrand($C107,$T108,$Y108,$X108,$W108,J$4,[1]!juhe($T108,6)),[1]!juhe($T108,6),$C107,0)</f>
        <v>6.8913744600581106</v>
      </c>
      <c r="K110" s="120">
        <f ca="1">[1]!ripe([1]!Olekuvorrand($C107,$T108,$Y108,$X108,$W108,K$4,[1]!juhe($T108,6)),[1]!juhe($T108,6),$C107,0)</f>
        <v>7.0460854008452554</v>
      </c>
      <c r="L110" s="120">
        <f ca="1">[1]!ripe([1]!Olekuvorrand($C107,$T108,$Y108,$X108,$W108,L$4,[1]!juhe($T108,6)),[1]!juhe($T108,6),$C107,0)</f>
        <v>7.2000019735205623</v>
      </c>
      <c r="M110" s="120">
        <f ca="1">[1]!ripe([1]!Olekuvorrand($C107,$T108,$Y108,$X108,$W108,M$4,[1]!juhe($T108,6)),[1]!juhe($T108,6),$C107,0)</f>
        <v>7.3530225690913724</v>
      </c>
      <c r="N110" s="120">
        <f ca="1">[1]!ripe([1]!Olekuvorrand($C107,$T108,$Y108,$X108,$W108,N$4,[1]!juhe($T108,6)),[1]!juhe($T108,6),$C107,0)</f>
        <v>7.5050667455091533</v>
      </c>
      <c r="O110" s="207"/>
      <c r="Q110" s="141" t="s">
        <v>212</v>
      </c>
      <c r="R110"/>
      <c r="S110"/>
      <c r="T110"/>
      <c r="U110"/>
      <c r="V110"/>
      <c r="W110"/>
      <c r="X110"/>
      <c r="Y110"/>
      <c r="Z110"/>
    </row>
    <row r="111" spans="1:29" x14ac:dyDescent="0.2">
      <c r="A111" s="105"/>
      <c r="B111" s="113" t="str">
        <f ca="1">INDIRECT("Visangud!C" &amp; R111)</f>
        <v>154Y-155Y</v>
      </c>
      <c r="C111" s="106">
        <f ca="1">INDIRECT("Visangud!"&amp;Q111&amp;R111)</f>
        <v>368.2816644906481</v>
      </c>
      <c r="D111" s="10" t="s">
        <v>31</v>
      </c>
      <c r="E111" s="12">
        <f ca="1">[1]!ripe(E$107,[1]!juhe($T$8,6),$C111,0)</f>
        <v>6.3933760865414291</v>
      </c>
      <c r="F111" s="12">
        <f ca="1">[1]!ripe(F$107,[1]!juhe($T$8,6),$C111,0)</f>
        <v>6.5573737250194215</v>
      </c>
      <c r="G111" s="12">
        <f ca="1">[1]!ripe(G$107,[1]!juhe($T$8,6),$C111,0)</f>
        <v>6.721290907757111</v>
      </c>
      <c r="H111" s="12">
        <f ca="1">[1]!ripe(H$107,[1]!juhe($T$8,6),$C111,0)</f>
        <v>6.8849301574978554</v>
      </c>
      <c r="I111" s="12">
        <f ca="1">[1]!ripe(I$107,[1]!juhe($T$8,6),$C111,0)</f>
        <v>7.0481338875319857</v>
      </c>
      <c r="J111" s="12">
        <f ca="1">[1]!ripe(J$107,[1]!juhe($T$8,6),$C111,0)</f>
        <v>7.2107381476385708</v>
      </c>
      <c r="K111" s="12">
        <f ca="1">[1]!ripe(K$107,[1]!juhe($T$8,6),$C111,0)</f>
        <v>7.3726187839407675</v>
      </c>
      <c r="L111" s="12">
        <f ca="1">[1]!ripe(L$107,[1]!juhe($T$8,6),$C111,0)</f>
        <v>7.5336682391076923</v>
      </c>
      <c r="M111" s="12">
        <f ca="1">[1]!ripe(M$107,[1]!juhe($T$8,6),$C111,0)</f>
        <v>7.6937801953294871</v>
      </c>
      <c r="N111" s="12">
        <f ca="1">[1]!ripe(N$107,[1]!juhe($T$8,6),$C111,0)</f>
        <v>7.8528704826700375</v>
      </c>
      <c r="O111" s="124"/>
      <c r="Q111" s="141" t="s">
        <v>212</v>
      </c>
      <c r="R111">
        <v>66</v>
      </c>
      <c r="S111"/>
      <c r="T111"/>
      <c r="U111"/>
      <c r="V111"/>
      <c r="W111"/>
      <c r="X111"/>
      <c r="Y111"/>
      <c r="Z111"/>
    </row>
    <row r="112" spans="1:29" x14ac:dyDescent="0.2">
      <c r="A112" s="108"/>
      <c r="B112" s="113" t="str">
        <f t="shared" ref="B112" ca="1" si="38">INDIRECT("Visangud!C" &amp; R112)</f>
        <v>155Y-156Y</v>
      </c>
      <c r="C112" s="106">
        <f t="shared" ref="C112" ca="1" si="39">INDIRECT("Visangud!"&amp;Q112&amp;R112)</f>
        <v>351.17594920461329</v>
      </c>
      <c r="D112" s="10" t="s">
        <v>31</v>
      </c>
      <c r="E112" s="12">
        <f ca="1">[1]!ripe(E$107,[1]!juhe($T$8,6),$C112,0)</f>
        <v>5.8132578612080215</v>
      </c>
      <c r="F112" s="12">
        <f ca="1">[1]!ripe(F$107,[1]!juhe($T$8,6),$C112,0)</f>
        <v>5.9623747828777232</v>
      </c>
      <c r="G112" s="12">
        <f ca="1">[1]!ripe(G$107,[1]!juhe($T$8,6),$C112,0)</f>
        <v>6.1114185491505779</v>
      </c>
      <c r="H112" s="12">
        <f ca="1">[1]!ripe(H$107,[1]!juhe($T$8,6),$C112,0)</f>
        <v>6.2602096013397457</v>
      </c>
      <c r="I112" s="12">
        <f ca="1">[1]!ripe(I$107,[1]!juhe($T$8,6),$C112,0)</f>
        <v>6.4086046517414523</v>
      </c>
      <c r="J112" s="12">
        <f ca="1">[1]!ripe(J$107,[1]!juhe($T$8,6),$C112,0)</f>
        <v>6.55645462654903</v>
      </c>
      <c r="K112" s="12">
        <f ca="1">[1]!ripe(K$107,[1]!juhe($T$8,6),$C112,0)</f>
        <v>6.7036466372837182</v>
      </c>
      <c r="L112" s="12">
        <f ca="1">[1]!ripe(L$107,[1]!juhe($T$8,6),$C112,0)</f>
        <v>6.8500828860855396</v>
      </c>
      <c r="M112" s="12">
        <f ca="1">[1]!ripe(M$107,[1]!juhe($T$8,6),$C112,0)</f>
        <v>6.9956667021446464</v>
      </c>
      <c r="N112" s="12">
        <f ca="1">[1]!ripe(N$107,[1]!juhe($T$8,6),$C112,0)</f>
        <v>7.1403215528847976</v>
      </c>
      <c r="O112" s="125"/>
      <c r="Q112" s="141" t="s">
        <v>212</v>
      </c>
      <c r="R112">
        <v>67</v>
      </c>
      <c r="S112"/>
      <c r="T112"/>
      <c r="U112"/>
      <c r="V112"/>
      <c r="W112"/>
      <c r="X112"/>
      <c r="Y112"/>
      <c r="Z112"/>
    </row>
    <row r="113" spans="1:26" s="114" customFormat="1" hidden="1" x14ac:dyDescent="0.2">
      <c r="A113" s="187">
        <v>13</v>
      </c>
      <c r="B113" s="188" t="str">
        <f ca="1">R114</f>
        <v>156Y- 164Y</v>
      </c>
      <c r="C113" s="189">
        <f ca="1">S114</f>
        <v>372.01845882629567</v>
      </c>
      <c r="D113" s="118" t="s">
        <v>130</v>
      </c>
      <c r="E113" s="119">
        <f ca="1">[1]!Olekuvorrand($C113,$T114,$Y114,$X114,$W114,E$4,[1]!juhe($T114,6),TRUE)</f>
        <v>140.4297947883606</v>
      </c>
      <c r="F113" s="119">
        <f ca="1">[1]!Olekuvorrand($C113,$T114,$Y114,$X114,$W114,F$4,[1]!juhe($T114,6),TRUE)</f>
        <v>137.10027933120728</v>
      </c>
      <c r="G113" s="119">
        <f ca="1">[1]!Olekuvorrand($C113,$T114,$Y114,$X114,$W114,G$4,[1]!juhe($T114,6),TRUE)</f>
        <v>133.9307427406311</v>
      </c>
      <c r="H113" s="119">
        <f ca="1">[1]!Olekuvorrand($C113,$T114,$Y114,$X114,$W114,H$4,[1]!juhe($T114,6),TRUE)</f>
        <v>130.91295957565308</v>
      </c>
      <c r="I113" s="119">
        <f ca="1">[1]!Olekuvorrand($C113,$T114,$Y114,$X114,$W114,I$4,[1]!juhe($T114,6),TRUE)</f>
        <v>128.03870439529419</v>
      </c>
      <c r="J113" s="119">
        <f ca="1">[1]!Olekuvorrand($C113,$T114,$Y114,$X114,$W114,J$4,[1]!juhe($T114,6),TRUE)</f>
        <v>125.29999017715454</v>
      </c>
      <c r="K113" s="119">
        <f ca="1">[1]!Olekuvorrand($C113,$T114,$Y114,$X114,$W114,K$4,[1]!juhe($T114,6),TRUE)</f>
        <v>122.68930673599243</v>
      </c>
      <c r="L113" s="119">
        <f ca="1">[1]!Olekuvorrand($C113,$T114,$Y114,$X114,$W114,L$4,[1]!juhe($T114,6),TRUE)</f>
        <v>120.19926309585571</v>
      </c>
      <c r="M113" s="119">
        <f ca="1">[1]!Olekuvorrand($C113,$T114,$Y114,$X114,$W114,M$4,[1]!juhe($T114,6),TRUE)</f>
        <v>117.82306432723999</v>
      </c>
      <c r="N113" s="119">
        <f ca="1">[1]!Olekuvorrand($C113,$T114,$Y114,$X114,$W114,N$4,[1]!juhe($T114,6),TRUE)</f>
        <v>115.55403470993042</v>
      </c>
      <c r="O113" s="207">
        <f ca="1">U114</f>
        <v>125.29999017715454</v>
      </c>
      <c r="Q113" s="141" t="s">
        <v>201</v>
      </c>
      <c r="R113"/>
      <c r="S113"/>
      <c r="T113"/>
      <c r="U113"/>
      <c r="V113"/>
      <c r="W113"/>
      <c r="X113"/>
      <c r="Y113"/>
      <c r="Z113"/>
    </row>
    <row r="114" spans="1:26" s="114" customFormat="1" x14ac:dyDescent="0.2">
      <c r="A114" s="187"/>
      <c r="B114" s="188"/>
      <c r="C114" s="189"/>
      <c r="D114" s="118" t="s">
        <v>32</v>
      </c>
      <c r="E114" s="119">
        <f ca="1">E113*[1]!juhe($T114,2)/10</f>
        <v>942.2839230298996</v>
      </c>
      <c r="F114" s="119">
        <f ca="1">F113*[1]!juhe($T114,2)/10</f>
        <v>919.94287431240082</v>
      </c>
      <c r="G114" s="119">
        <f ca="1">G113*[1]!juhe($T114,2)/10</f>
        <v>898.6752837896347</v>
      </c>
      <c r="H114" s="119">
        <f ca="1">H113*[1]!juhe($T114,2)/10</f>
        <v>878.42595875263214</v>
      </c>
      <c r="I114" s="119">
        <f ca="1">I113*[1]!juhe($T114,2)/10</f>
        <v>859.13970649242401</v>
      </c>
      <c r="J114" s="119">
        <f ca="1">J113*[1]!juhe($T114,2)/10</f>
        <v>840.76293408870697</v>
      </c>
      <c r="K114" s="119">
        <f ca="1">K113*[1]!juhe($T114,2)/10</f>
        <v>823.24524819850922</v>
      </c>
      <c r="L114" s="119">
        <f ca="1">L113*[1]!juhe($T114,2)/10</f>
        <v>806.53705537319172</v>
      </c>
      <c r="M114" s="119">
        <f ca="1">M113*[1]!juhe($T114,2)/10</f>
        <v>790.59276163578022</v>
      </c>
      <c r="N114" s="119">
        <f ca="1">N113*[1]!juhe($T114,2)/10</f>
        <v>775.367572903633</v>
      </c>
      <c r="O114" s="207"/>
      <c r="Q114" s="141" t="s">
        <v>213</v>
      </c>
      <c r="R114" s="129" t="str">
        <f t="shared" ref="R114:Y114" ca="1" si="40">INDIRECT("'"&amp;$S$1&amp;"'!"&amp;$Q114&amp;R$4)</f>
        <v>156Y- 164Y</v>
      </c>
      <c r="S114" s="129">
        <f t="shared" ca="1" si="40"/>
        <v>372.01845882629567</v>
      </c>
      <c r="T114" s="129" t="str">
        <f t="shared" ca="1" si="40"/>
        <v>9,9-S1A - 19</v>
      </c>
      <c r="U114" s="129">
        <f t="shared" ca="1" si="40"/>
        <v>125.29999017715454</v>
      </c>
      <c r="V114" s="129">
        <f t="shared" ca="1" si="40"/>
        <v>6</v>
      </c>
      <c r="W114" s="129">
        <f t="shared" ca="1" si="40"/>
        <v>0.27988198020220417</v>
      </c>
      <c r="X114" s="129">
        <f t="shared" ca="1" si="40"/>
        <v>-5</v>
      </c>
      <c r="Y114" s="129">
        <f t="shared" ca="1" si="40"/>
        <v>417.81240701675415</v>
      </c>
      <c r="Z114">
        <v>1</v>
      </c>
    </row>
    <row r="115" spans="1:26" s="114" customFormat="1" x14ac:dyDescent="0.2">
      <c r="A115" s="187"/>
      <c r="B115" s="188"/>
      <c r="C115" s="189"/>
      <c r="D115" s="118" t="s">
        <v>31</v>
      </c>
      <c r="E115" s="120">
        <f ca="1">[1]!ripe([1]!Olekuvorrand($C113,$T114,$Y114,$X114,$W114,E$4,[1]!juhe($T114,6),TRUE),[1]!juhe($T114,6),$C113,0)</f>
        <v>6.5907298772579743</v>
      </c>
      <c r="F115" s="120">
        <f ca="1">[1]!ripe([1]!Olekuvorrand($C113,$T114,$Y114,$X114,$W114,F$4,[1]!juhe($T114,6),TRUE),[1]!juhe($T114,6),$C113,0)</f>
        <v>6.7507874432038495</v>
      </c>
      <c r="G115" s="120">
        <f ca="1">[1]!ripe([1]!Olekuvorrand($C113,$T114,$Y114,$X114,$W114,G$4,[1]!juhe($T114,6),TRUE),[1]!juhe($T114,6),$C113,0)</f>
        <v>6.9105481327855811</v>
      </c>
      <c r="H115" s="120">
        <f ca="1">[1]!ripe([1]!Olekuvorrand($C113,$T114,$Y114,$X114,$W114,H$4,[1]!juhe($T114,6),TRUE),[1]!juhe($T114,6),$C113,0)</f>
        <v>7.0698489070060209</v>
      </c>
      <c r="I115" s="120">
        <f ca="1">[1]!ripe([1]!Olekuvorrand($C113,$T114,$Y114,$X114,$W114,I$4,[1]!juhe($T114,6),TRUE),[1]!juhe($T114,6),$C113,0)</f>
        <v>7.22855521336305</v>
      </c>
      <c r="J115" s="120">
        <f ca="1">[1]!ripe([1]!Olekuvorrand($C113,$T114,$Y114,$X114,$W114,J$4,[1]!juhe($T114,6),TRUE),[1]!juhe($T114,6),$C113,0)</f>
        <v>7.3865516099426118</v>
      </c>
      <c r="K115" s="120">
        <f ca="1">[1]!ripe([1]!Olekuvorrand($C113,$T114,$Y114,$X114,$W114,K$4,[1]!juhe($T114,6),TRUE),[1]!juhe($T114,6),$C113,0)</f>
        <v>7.5437286980556157</v>
      </c>
      <c r="L115" s="120">
        <f ca="1">[1]!ripe([1]!Olekuvorrand($C113,$T114,$Y114,$X114,$W114,L$4,[1]!juhe($T114,6),TRUE),[1]!juhe($T114,6),$C113,0)</f>
        <v>7.7000043122624211</v>
      </c>
      <c r="M115" s="120">
        <f ca="1">[1]!ripe([1]!Olekuvorrand($C113,$T114,$Y114,$X114,$W114,M$4,[1]!juhe($T114,6),TRUE),[1]!juhe($T114,6),$C113,0)</f>
        <v>7.8552942876981016</v>
      </c>
      <c r="N115" s="120">
        <f ca="1">[1]!ripe([1]!Olekuvorrand($C113,$T114,$Y114,$X114,$W114,N$4,[1]!juhe($T114,6),TRUE),[1]!juhe($T114,6),$C113,0)</f>
        <v>8.009541566351869</v>
      </c>
      <c r="O115" s="207"/>
      <c r="Q115" s="141" t="s">
        <v>213</v>
      </c>
      <c r="R115"/>
      <c r="S115"/>
      <c r="T115"/>
      <c r="U115"/>
      <c r="V115"/>
      <c r="W115"/>
      <c r="X115"/>
      <c r="Y115"/>
      <c r="Z115"/>
    </row>
    <row r="116" spans="1:26" s="114" customFormat="1" x14ac:dyDescent="0.2">
      <c r="A116" s="187"/>
      <c r="B116" s="188"/>
      <c r="C116" s="189"/>
      <c r="D116" s="118" t="s">
        <v>195</v>
      </c>
      <c r="E116" s="120">
        <f ca="1">[1]!ripe([1]!Olekuvorrand($C113,$T114,$Y114,$X114,$W114,E$4,[1]!juhe($T114,6)),[1]!juhe($T114,6),$C113,0)</f>
        <v>6.5907298772579743</v>
      </c>
      <c r="F116" s="120">
        <f ca="1">[1]!ripe([1]!Olekuvorrand($C113,$T114,$Y114,$X114,$W114,F$4,[1]!juhe($T114,6)),[1]!juhe($T114,6),$C113,0)</f>
        <v>6.7507874432038495</v>
      </c>
      <c r="G116" s="120">
        <f ca="1">[1]!ripe([1]!Olekuvorrand($C113,$T114,$Y114,$X114,$W114,G$4,[1]!juhe($T114,6)),[1]!juhe($T114,6),$C113,0)</f>
        <v>6.9105481327855811</v>
      </c>
      <c r="H116" s="120">
        <f ca="1">[1]!ripe([1]!Olekuvorrand($C113,$T114,$Y114,$X114,$W114,H$4,[1]!juhe($T114,6)),[1]!juhe($T114,6),$C113,0)</f>
        <v>7.0698489070060209</v>
      </c>
      <c r="I116" s="120">
        <f ca="1">[1]!ripe([1]!Olekuvorrand($C113,$T114,$Y114,$X114,$W114,I$4,[1]!juhe($T114,6)),[1]!juhe($T114,6),$C113,0)</f>
        <v>7.22855521336305</v>
      </c>
      <c r="J116" s="120">
        <f ca="1">[1]!ripe([1]!Olekuvorrand($C113,$T114,$Y114,$X114,$W114,J$4,[1]!juhe($T114,6)),[1]!juhe($T114,6),$C113,0)</f>
        <v>7.3865516099426118</v>
      </c>
      <c r="K116" s="120">
        <f ca="1">[1]!ripe([1]!Olekuvorrand($C113,$T114,$Y114,$X114,$W114,K$4,[1]!juhe($T114,6)),[1]!juhe($T114,6),$C113,0)</f>
        <v>7.5437286980556157</v>
      </c>
      <c r="L116" s="120">
        <f ca="1">[1]!ripe([1]!Olekuvorrand($C113,$T114,$Y114,$X114,$W114,L$4,[1]!juhe($T114,6)),[1]!juhe($T114,6),$C113,0)</f>
        <v>7.7000043122624211</v>
      </c>
      <c r="M116" s="120">
        <f ca="1">[1]!ripe([1]!Olekuvorrand($C113,$T114,$Y114,$X114,$W114,M$4,[1]!juhe($T114,6)),[1]!juhe($T114,6),$C113,0)</f>
        <v>7.8552942876981016</v>
      </c>
      <c r="N116" s="120">
        <f ca="1">[1]!ripe([1]!Olekuvorrand($C113,$T114,$Y114,$X114,$W114,N$4,[1]!juhe($T114,6)),[1]!juhe($T114,6),$C113,0)</f>
        <v>8.009541566351869</v>
      </c>
      <c r="O116" s="207"/>
      <c r="Q116" s="141" t="s">
        <v>213</v>
      </c>
      <c r="R116"/>
      <c r="S116"/>
      <c r="T116"/>
      <c r="U116"/>
      <c r="V116"/>
      <c r="W116"/>
      <c r="X116"/>
      <c r="Y116"/>
      <c r="Z116"/>
    </row>
    <row r="117" spans="1:26" x14ac:dyDescent="0.2">
      <c r="A117" s="105"/>
      <c r="B117" s="113" t="str">
        <f ca="1">INDIRECT("Visangud!C" &amp; R117)</f>
        <v>156Y-157Y</v>
      </c>
      <c r="C117" s="106">
        <f ca="1">INDIRECT("Visangud!"&amp;Q117&amp;R117)</f>
        <v>433.08823546734413</v>
      </c>
      <c r="D117" s="10" t="s">
        <v>31</v>
      </c>
      <c r="E117" s="12">
        <f ca="1">[1]!ripe(E$113,[1]!juhe($T$8,6),$C117,0)</f>
        <v>8.9321767231491478</v>
      </c>
      <c r="F117" s="12">
        <f ca="1">[1]!ripe(F$113,[1]!juhe($T$8,6),$C117,0)</f>
        <v>9.1490969264545292</v>
      </c>
      <c r="G117" s="12">
        <f ca="1">[1]!ripe(G$113,[1]!juhe($T$8,6),$C117,0)</f>
        <v>9.3656147840108304</v>
      </c>
      <c r="H117" s="12">
        <f ca="1">[1]!ripe(H$113,[1]!juhe($T$8,6),$C117,0)</f>
        <v>9.5815093349893701</v>
      </c>
      <c r="I117" s="12">
        <f ca="1">[1]!ripe(I$113,[1]!juhe($T$8,6),$C117,0)</f>
        <v>9.7965982252730992</v>
      </c>
      <c r="J117" s="12">
        <f ca="1">[1]!ripe(J$113,[1]!juhe($T$8,6),$C117,0)</f>
        <v>10.01072500063057</v>
      </c>
      <c r="K117" s="12">
        <f ca="1">[1]!ripe(K$113,[1]!juhe($T$8,6),$C117,0)</f>
        <v>10.223741396993555</v>
      </c>
      <c r="L117" s="12">
        <f ca="1">[1]!ripe(L$113,[1]!juhe($T$8,6),$C117,0)</f>
        <v>10.43553605852725</v>
      </c>
      <c r="M117" s="12">
        <f ca="1">[1]!ripe(M$113,[1]!juhe($T$8,6),$C117,0)</f>
        <v>10.64599491964842</v>
      </c>
      <c r="N117" s="12">
        <f ca="1">[1]!ripe(N$113,[1]!juhe($T$8,6),$C117,0)</f>
        <v>10.855040651708293</v>
      </c>
      <c r="O117" s="124"/>
      <c r="Q117" s="141" t="s">
        <v>213</v>
      </c>
      <c r="R117">
        <v>68</v>
      </c>
      <c r="S117"/>
      <c r="T117"/>
      <c r="U117"/>
      <c r="V117"/>
      <c r="W117"/>
      <c r="X117"/>
      <c r="Y117"/>
      <c r="Z117"/>
    </row>
    <row r="118" spans="1:26" x14ac:dyDescent="0.2">
      <c r="A118" s="153"/>
      <c r="B118" s="113" t="str">
        <f t="shared" ref="B118:B119" ca="1" si="41">INDIRECT("Visangud!C" &amp; R118)</f>
        <v>157Y-158Y</v>
      </c>
      <c r="C118" s="106">
        <f t="shared" ref="C118:C119" ca="1" si="42">INDIRECT("Visangud!"&amp;Q118&amp;R118)</f>
        <v>258.13248245795143</v>
      </c>
      <c r="D118" s="10" t="s">
        <v>31</v>
      </c>
      <c r="E118" s="12">
        <f ca="1">[1]!ripe(E$113,[1]!juhe($T$8,6),$C118,0)</f>
        <v>3.1731445017752424</v>
      </c>
      <c r="F118" s="12">
        <f ca="1">[1]!ripe(F$113,[1]!juhe($T$8,6),$C118,0)</f>
        <v>3.2502051300830717</v>
      </c>
      <c r="G118" s="12">
        <f ca="1">[1]!ripe(G$113,[1]!juhe($T$8,6),$C118,0)</f>
        <v>3.3271228255716032</v>
      </c>
      <c r="H118" s="12">
        <f ca="1">[1]!ripe(H$113,[1]!juhe($T$8,6),$C118,0)</f>
        <v>3.4038190921854659</v>
      </c>
      <c r="I118" s="12">
        <f ca="1">[1]!ripe(I$113,[1]!juhe($T$8,6),$C118,0)</f>
        <v>3.4802291488548467</v>
      </c>
      <c r="J118" s="12">
        <f ca="1">[1]!ripe(J$113,[1]!juhe($T$8,6),$C118,0)</f>
        <v>3.5562974154115876</v>
      </c>
      <c r="K118" s="12">
        <f ca="1">[1]!ripe(K$113,[1]!juhe($T$8,6),$C118,0)</f>
        <v>3.6319712212326696</v>
      </c>
      <c r="L118" s="12">
        <f ca="1">[1]!ripe(L$113,[1]!juhe($T$8,6),$C118,0)</f>
        <v>3.7072110072983948</v>
      </c>
      <c r="M118" s="12">
        <f ca="1">[1]!ripe(M$113,[1]!juhe($T$8,6),$C118,0)</f>
        <v>3.7819762519543554</v>
      </c>
      <c r="N118" s="12">
        <f ca="1">[1]!ripe(N$113,[1]!juhe($T$8,6),$C118,0)</f>
        <v>3.8562394842957217</v>
      </c>
      <c r="O118" s="155"/>
      <c r="Q118" s="141" t="s">
        <v>213</v>
      </c>
      <c r="R118">
        <v>69</v>
      </c>
      <c r="S118"/>
      <c r="T118"/>
      <c r="U118"/>
      <c r="V118"/>
      <c r="W118"/>
      <c r="X118"/>
      <c r="Y118"/>
      <c r="Z118"/>
    </row>
    <row r="119" spans="1:26" x14ac:dyDescent="0.2">
      <c r="A119" s="153"/>
      <c r="B119" s="113" t="str">
        <f t="shared" ca="1" si="41"/>
        <v>158Y-159Y</v>
      </c>
      <c r="C119" s="106">
        <f t="shared" ca="1" si="42"/>
        <v>349.83137152091001</v>
      </c>
      <c r="D119" s="10" t="s">
        <v>31</v>
      </c>
      <c r="E119" s="12">
        <f ca="1">[1]!ripe(E$113,[1]!juhe($T$8,6),$C119,0)</f>
        <v>5.8280334976529415</v>
      </c>
      <c r="F119" s="12">
        <f ca="1">[1]!ripe(F$113,[1]!juhe($T$8,6),$C119,0)</f>
        <v>5.9695687863474687</v>
      </c>
      <c r="G119" s="12">
        <f ca="1">[1]!ripe(G$113,[1]!juhe($T$8,6),$C119,0)</f>
        <v>6.1108415539817935</v>
      </c>
      <c r="H119" s="12">
        <f ca="1">[1]!ripe(H$113,[1]!juhe($T$8,6),$C119,0)</f>
        <v>6.2517076288549802</v>
      </c>
      <c r="I119" s="12">
        <f ca="1">[1]!ripe(I$113,[1]!juhe($T$8,6),$C119,0)</f>
        <v>6.3920480292299313</v>
      </c>
      <c r="J119" s="12">
        <f ca="1">[1]!ripe(J$113,[1]!juhe($T$8,6),$C119,0)</f>
        <v>6.5317606724307238</v>
      </c>
      <c r="K119" s="12">
        <f ca="1">[1]!ripe(K$113,[1]!juhe($T$8,6),$C119,0)</f>
        <v>6.6707488196687112</v>
      </c>
      <c r="L119" s="12">
        <f ca="1">[1]!ripe(L$113,[1]!juhe($T$8,6),$C119,0)</f>
        <v>6.808939813902338</v>
      </c>
      <c r="M119" s="12">
        <f ca="1">[1]!ripe(M$113,[1]!juhe($T$8,6),$C119,0)</f>
        <v>6.9462592300434505</v>
      </c>
      <c r="N119" s="12">
        <f ca="1">[1]!ripe(N$113,[1]!juhe($T$8,6),$C119,0)</f>
        <v>7.0826566129824648</v>
      </c>
      <c r="O119" s="124"/>
      <c r="Q119" s="141" t="s">
        <v>213</v>
      </c>
      <c r="R119">
        <v>70</v>
      </c>
      <c r="S119"/>
      <c r="T119"/>
      <c r="U119"/>
      <c r="V119"/>
      <c r="W119"/>
      <c r="X119"/>
      <c r="Y119"/>
      <c r="Z119"/>
    </row>
    <row r="120" spans="1:26" x14ac:dyDescent="0.2">
      <c r="A120" s="153"/>
      <c r="B120" s="113" t="str">
        <f t="shared" ref="B120:B121" ca="1" si="43">INDIRECT("Visangud!C" &amp; R120)</f>
        <v>159Y-160Y</v>
      </c>
      <c r="C120" s="106">
        <f t="shared" ref="C120:C121" ca="1" si="44">INDIRECT("Visangud!"&amp;Q120&amp;R120)</f>
        <v>263.13706732408747</v>
      </c>
      <c r="D120" s="10" t="s">
        <v>31</v>
      </c>
      <c r="E120" s="12">
        <f ca="1">[1]!ripe(E$113,[1]!juhe($T$8,6),$C120,0)</f>
        <v>3.2973769226454315</v>
      </c>
      <c r="F120" s="12">
        <f ca="1">[1]!ripe(F$113,[1]!juhe($T$8,6),$C120,0)</f>
        <v>3.3774545671663909</v>
      </c>
      <c r="G120" s="12">
        <f ca="1">[1]!ripe(G$113,[1]!juhe($T$8,6),$C120,0)</f>
        <v>3.4573836828763933</v>
      </c>
      <c r="H120" s="12">
        <f ca="1">[1]!ripe(H$113,[1]!juhe($T$8,6),$C120,0)</f>
        <v>3.5370827005051608</v>
      </c>
      <c r="I120" s="12">
        <f ca="1">[1]!ripe(I$113,[1]!juhe($T$8,6),$C120,0)</f>
        <v>3.6164843027261404</v>
      </c>
      <c r="J120" s="12">
        <f ca="1">[1]!ripe(J$113,[1]!juhe($T$8,6),$C120,0)</f>
        <v>3.6955307333407919</v>
      </c>
      <c r="K120" s="12">
        <f ca="1">[1]!ripe(K$113,[1]!juhe($T$8,6),$C120,0)</f>
        <v>3.7741672596079026</v>
      </c>
      <c r="L120" s="12">
        <f ca="1">[1]!ripe(L$113,[1]!juhe($T$8,6),$C120,0)</f>
        <v>3.8523527737246104</v>
      </c>
      <c r="M120" s="12">
        <f ca="1">[1]!ripe(M$113,[1]!juhe($T$8,6),$C120,0)</f>
        <v>3.9300451675650363</v>
      </c>
      <c r="N120" s="12">
        <f ca="1">[1]!ripe(N$113,[1]!juhe($T$8,6),$C120,0)</f>
        <v>4.0072158947054106</v>
      </c>
      <c r="O120" s="155"/>
      <c r="Q120" s="141" t="s">
        <v>213</v>
      </c>
      <c r="R120">
        <v>71</v>
      </c>
      <c r="S120"/>
      <c r="T120"/>
      <c r="U120"/>
      <c r="V120"/>
      <c r="W120"/>
      <c r="X120"/>
      <c r="Y120"/>
      <c r="Z120"/>
    </row>
    <row r="121" spans="1:26" x14ac:dyDescent="0.2">
      <c r="A121" s="153"/>
      <c r="B121" s="113" t="str">
        <f t="shared" ca="1" si="43"/>
        <v>160Y-161Y</v>
      </c>
      <c r="C121" s="106">
        <f t="shared" ca="1" si="44"/>
        <v>266.90000000004108</v>
      </c>
      <c r="D121" s="10" t="s">
        <v>31</v>
      </c>
      <c r="E121" s="12">
        <f ca="1">[1]!ripe(E$113,[1]!juhe($T$8,6),$C121,0)</f>
        <v>3.3923580290999018</v>
      </c>
      <c r="F121" s="12">
        <f ca="1">[1]!ripe(F$113,[1]!juhe($T$8,6),$C121,0)</f>
        <v>3.4747423141588696</v>
      </c>
      <c r="G121" s="12">
        <f ca="1">[1]!ripe(G$113,[1]!juhe($T$8,6),$C121,0)</f>
        <v>3.5569737920270854</v>
      </c>
      <c r="H121" s="12">
        <f ca="1">[1]!ripe(H$113,[1]!juhe($T$8,6),$C121,0)</f>
        <v>3.6389685438273776</v>
      </c>
      <c r="I121" s="12">
        <f ca="1">[1]!ripe(I$113,[1]!juhe($T$8,6),$C121,0)</f>
        <v>3.7206573131542506</v>
      </c>
      <c r="J121" s="12">
        <f ca="1">[1]!ripe(J$113,[1]!juhe($T$8,6),$C121,0)</f>
        <v>3.8019806801389886</v>
      </c>
      <c r="K121" s="12">
        <f ca="1">[1]!ripe(K$113,[1]!juhe($T$8,6),$C121,0)</f>
        <v>3.8828823354610433</v>
      </c>
      <c r="L121" s="12">
        <f ca="1">[1]!ripe(L$113,[1]!juhe($T$8,6),$C121,0)</f>
        <v>3.963319987205244</v>
      </c>
      <c r="M121" s="12">
        <f ca="1">[1]!ripe(M$113,[1]!juhe($T$8,6),$C121,0)</f>
        <v>4.0432503143190495</v>
      </c>
      <c r="N121" s="12">
        <f ca="1">[1]!ripe(N$113,[1]!juhe($T$8,6),$C121,0)</f>
        <v>4.1226439480975303</v>
      </c>
      <c r="O121" s="124"/>
      <c r="Q121" s="141" t="s">
        <v>213</v>
      </c>
      <c r="R121">
        <v>72</v>
      </c>
      <c r="S121"/>
      <c r="T121"/>
      <c r="U121"/>
      <c r="V121"/>
      <c r="W121"/>
      <c r="X121"/>
      <c r="Y121"/>
      <c r="Z121"/>
    </row>
    <row r="122" spans="1:26" x14ac:dyDescent="0.2">
      <c r="A122" s="153"/>
      <c r="B122" s="113" t="str">
        <f t="shared" ref="B122:B124" ca="1" si="45">INDIRECT("Visangud!C" &amp; R122)</f>
        <v>161Y-162Y</v>
      </c>
      <c r="C122" s="106">
        <f t="shared" ref="C122:C124" ca="1" si="46">INDIRECT("Visangud!"&amp;Q122&amp;R122)</f>
        <v>418.92057600454484</v>
      </c>
      <c r="D122" s="10" t="s">
        <v>31</v>
      </c>
      <c r="E122" s="12">
        <f ca="1">[1]!ripe(E$113,[1]!juhe($T$8,6),$C122,0)</f>
        <v>8.3573370555451252</v>
      </c>
      <c r="F122" s="12">
        <f ca="1">[1]!ripe(F$113,[1]!juhe($T$8,6),$C122,0)</f>
        <v>8.5602971300454538</v>
      </c>
      <c r="G122" s="12">
        <f ca="1">[1]!ripe(G$113,[1]!juhe($T$8,6),$C122,0)</f>
        <v>8.76288075218236</v>
      </c>
      <c r="H122" s="12">
        <f ca="1">[1]!ripe(H$113,[1]!juhe($T$8,6),$C122,0)</f>
        <v>8.9648811812946825</v>
      </c>
      <c r="I122" s="12">
        <f ca="1">[1]!ripe(I$113,[1]!juhe($T$8,6),$C122,0)</f>
        <v>9.1661277988571861</v>
      </c>
      <c r="J122" s="12">
        <f ca="1">[1]!ripe(J$113,[1]!juhe($T$8,6),$C122,0)</f>
        <v>9.3664742194157427</v>
      </c>
      <c r="K122" s="12">
        <f ca="1">[1]!ripe(K$113,[1]!juhe($T$8,6),$C122,0)</f>
        <v>9.5657817205928346</v>
      </c>
      <c r="L122" s="12">
        <f ca="1">[1]!ripe(L$113,[1]!juhe($T$8,6),$C122,0)</f>
        <v>9.763946112976031</v>
      </c>
      <c r="M122" s="12">
        <f ca="1">[1]!ripe(M$113,[1]!juhe($T$8,6),$C122,0)</f>
        <v>9.9608606717931885</v>
      </c>
      <c r="N122" s="12">
        <f ca="1">[1]!ripe(N$113,[1]!juhe($T$8,6),$C122,0)</f>
        <v>10.156453044962401</v>
      </c>
      <c r="O122" s="155"/>
      <c r="Q122" s="141" t="s">
        <v>213</v>
      </c>
      <c r="R122">
        <v>73</v>
      </c>
      <c r="S122"/>
      <c r="T122"/>
      <c r="U122"/>
      <c r="V122"/>
      <c r="W122"/>
      <c r="X122"/>
      <c r="Y122"/>
      <c r="Z122"/>
    </row>
    <row r="123" spans="1:26" x14ac:dyDescent="0.2">
      <c r="A123" s="153"/>
      <c r="B123" s="113" t="str">
        <f t="shared" ca="1" si="45"/>
        <v>162Y-163Y</v>
      </c>
      <c r="C123" s="106">
        <f t="shared" ca="1" si="46"/>
        <v>408.63794953476696</v>
      </c>
      <c r="D123" s="10" t="s">
        <v>31</v>
      </c>
      <c r="E123" s="12">
        <f ca="1">[1]!ripe(E$113,[1]!juhe($T$8,6),$C123,0)</f>
        <v>7.9521017172341244</v>
      </c>
      <c r="F123" s="12">
        <f ca="1">[1]!ripe(F$113,[1]!juhe($T$8,6),$C123,0)</f>
        <v>8.1452205475789121</v>
      </c>
      <c r="G123" s="12">
        <f ca="1">[1]!ripe(G$113,[1]!juhe($T$8,6),$C123,0)</f>
        <v>8.3379811791977509</v>
      </c>
      <c r="H123" s="12">
        <f ca="1">[1]!ripe(H$113,[1]!juhe($T$8,6),$C123,0)</f>
        <v>8.5301868959888818</v>
      </c>
      <c r="I123" s="12">
        <f ca="1">[1]!ripe(I$113,[1]!juhe($T$8,6),$C123,0)</f>
        <v>8.7216753524756889</v>
      </c>
      <c r="J123" s="12">
        <f ca="1">[1]!ripe(J$113,[1]!juhe($T$8,6),$C123,0)</f>
        <v>8.9123072612256582</v>
      </c>
      <c r="K123" s="12">
        <f ca="1">[1]!ripe(K$113,[1]!juhe($T$8,6),$C123,0)</f>
        <v>9.101950626311238</v>
      </c>
      <c r="L123" s="12">
        <f ca="1">[1]!ripe(L$113,[1]!juhe($T$8,6),$C123,0)</f>
        <v>9.2905063103158128</v>
      </c>
      <c r="M123" s="12">
        <f ca="1">[1]!ripe(M$113,[1]!juhe($T$8,6),$C123,0)</f>
        <v>9.4778727633990147</v>
      </c>
      <c r="N123" s="12">
        <f ca="1">[1]!ripe(N$113,[1]!juhe($T$8,6),$C123,0)</f>
        <v>9.6639811417280672</v>
      </c>
      <c r="O123" s="124"/>
      <c r="Q123" s="141" t="s">
        <v>213</v>
      </c>
      <c r="R123">
        <v>74</v>
      </c>
      <c r="S123"/>
      <c r="T123"/>
      <c r="U123"/>
      <c r="V123"/>
      <c r="W123"/>
      <c r="X123"/>
      <c r="Y123"/>
      <c r="Z123"/>
    </row>
    <row r="124" spans="1:26" x14ac:dyDescent="0.2">
      <c r="A124" s="108"/>
      <c r="B124" s="113" t="str">
        <f t="shared" ca="1" si="45"/>
        <v>163Y-164Y</v>
      </c>
      <c r="C124" s="106">
        <f t="shared" ca="1" si="46"/>
        <v>408.78360290002473</v>
      </c>
      <c r="D124" s="10" t="s">
        <v>31</v>
      </c>
      <c r="E124" s="12">
        <f ca="1">[1]!ripe(E$113,[1]!juhe($T$8,6),$C124,0)</f>
        <v>7.9577715616452842</v>
      </c>
      <c r="F124" s="12">
        <f ca="1">[1]!ripe(F$113,[1]!juhe($T$8,6),$C124,0)</f>
        <v>8.1510280856162165</v>
      </c>
      <c r="G124" s="12">
        <f ca="1">[1]!ripe(G$113,[1]!juhe($T$8,6),$C124,0)</f>
        <v>8.3439261554656952</v>
      </c>
      <c r="H124" s="12">
        <f ca="1">[1]!ripe(H$113,[1]!juhe($T$8,6),$C124,0)</f>
        <v>8.536268914833478</v>
      </c>
      <c r="I124" s="12">
        <f ca="1">[1]!ripe(I$113,[1]!juhe($T$8,6),$C124,0)</f>
        <v>8.7278939024907132</v>
      </c>
      <c r="J124" s="12">
        <f ca="1">[1]!ripe(J$113,[1]!juhe($T$8,6),$C124,0)</f>
        <v>8.9186617316930157</v>
      </c>
      <c r="K124" s="12">
        <f ca="1">[1]!ripe(K$113,[1]!juhe($T$8,6),$C124,0)</f>
        <v>9.1084403123998108</v>
      </c>
      <c r="L124" s="12">
        <f ca="1">[1]!ripe(L$113,[1]!juhe($T$8,6),$C124,0)</f>
        <v>9.2971304365095477</v>
      </c>
      <c r="M124" s="12">
        <f ca="1">[1]!ripe(M$113,[1]!juhe($T$8,6),$C124,0)</f>
        <v>9.4846304817768843</v>
      </c>
      <c r="N124" s="12">
        <f ca="1">[1]!ripe(N$113,[1]!juhe($T$8,6),$C124,0)</f>
        <v>9.6708715552834192</v>
      </c>
      <c r="O124" s="155"/>
      <c r="Q124" s="141" t="s">
        <v>213</v>
      </c>
      <c r="R124">
        <v>75</v>
      </c>
      <c r="S124"/>
      <c r="T124"/>
      <c r="U124"/>
      <c r="V124"/>
      <c r="W124"/>
      <c r="X124"/>
      <c r="Y124"/>
      <c r="Z124"/>
    </row>
    <row r="125" spans="1:26" s="114" customFormat="1" ht="12.75" hidden="1" customHeight="1" x14ac:dyDescent="0.2">
      <c r="A125" s="143">
        <v>1</v>
      </c>
      <c r="B125" s="144" t="e">
        <f>#REF!</f>
        <v>#REF!</v>
      </c>
      <c r="C125" s="145" t="e">
        <f>#REF!</f>
        <v>#REF!</v>
      </c>
      <c r="D125" s="118" t="s">
        <v>130</v>
      </c>
      <c r="E125" s="119" t="e">
        <f ca="1">[1]!Olekuvorrand($C125,#REF!,#REF!,#REF!,#REF!,E$4,[1]!juhe($T$8,6),TRUE)</f>
        <v>#VALUE!</v>
      </c>
      <c r="F125" s="119" t="e">
        <f ca="1">[1]!Olekuvorrand($C125,#REF!,#REF!,#REF!,#REF!,F$4,[1]!juhe($T$8,6),TRUE)</f>
        <v>#VALUE!</v>
      </c>
      <c r="G125" s="119" t="e">
        <f ca="1">[1]!Olekuvorrand($C125,#REF!,#REF!,#REF!,#REF!,G$4,[1]!juhe($T$8,6),TRUE)</f>
        <v>#VALUE!</v>
      </c>
      <c r="H125" s="119" t="e">
        <f ca="1">[1]!Olekuvorrand($C125,#REF!,#REF!,#REF!,#REF!,H$4,[1]!juhe($T$8,6),TRUE)</f>
        <v>#VALUE!</v>
      </c>
      <c r="I125" s="119" t="e">
        <f ca="1">[1]!Olekuvorrand($C125,#REF!,#REF!,#REF!,#REF!,I$4,[1]!juhe($T$8,6),TRUE)</f>
        <v>#VALUE!</v>
      </c>
      <c r="J125" s="119" t="e">
        <f ca="1">[1]!Olekuvorrand($C125,#REF!,#REF!,#REF!,#REF!,J$4,[1]!juhe($T$8,6),TRUE)</f>
        <v>#VALUE!</v>
      </c>
      <c r="K125" s="119" t="e">
        <f ca="1">[1]!Olekuvorrand($C125,#REF!,#REF!,#REF!,#REF!,K$4,[1]!juhe($T$8,6),TRUE)</f>
        <v>#VALUE!</v>
      </c>
      <c r="L125" s="119" t="e">
        <f ca="1">[1]!Olekuvorrand($C125,#REF!,#REF!,#REF!,#REF!,L$4,[1]!juhe($T$8,6),TRUE)</f>
        <v>#VALUE!</v>
      </c>
      <c r="M125" s="119" t="e">
        <f ca="1">[1]!Olekuvorrand($C125,#REF!,#REF!,#REF!,#REF!,M$4,[1]!juhe($T$8,6),TRUE)</f>
        <v>#VALUE!</v>
      </c>
      <c r="N125" s="119" t="e">
        <f ca="1">[1]!Olekuvorrand($C125,#REF!,#REF!,#REF!,#REF!,N$4,[1]!juhe($T$8,6),TRUE)</f>
        <v>#VALUE!</v>
      </c>
      <c r="O125" s="146" t="e">
        <f>#REF!</f>
        <v>#REF!</v>
      </c>
      <c r="Q125" s="141" t="s">
        <v>216</v>
      </c>
      <c r="R125"/>
      <c r="S125"/>
      <c r="T125"/>
      <c r="U125"/>
      <c r="V125"/>
      <c r="W125"/>
      <c r="X125"/>
      <c r="Y125"/>
      <c r="Z125"/>
    </row>
    <row r="126" spans="1:26" s="114" customFormat="1" hidden="1" x14ac:dyDescent="0.2">
      <c r="A126" s="187">
        <v>14</v>
      </c>
      <c r="B126" s="188" t="str">
        <f ca="1">R127</f>
        <v>164Y - L507 165</v>
      </c>
      <c r="C126" s="189">
        <f ca="1">S127</f>
        <v>426.99285708293951</v>
      </c>
      <c r="D126" s="118" t="s">
        <v>130</v>
      </c>
      <c r="E126" s="119">
        <f ca="1">[1]!Olekuvorrand($C126,$T127,$Y127,$X127,$W127,E$4,[1]!juhe($T127,6),TRUE)</f>
        <v>130.61279058456421</v>
      </c>
      <c r="F126" s="119">
        <f ca="1">[1]!Olekuvorrand($C126,$T127,$Y127,$X127,$W127,F$4,[1]!juhe($T127,6),TRUE)</f>
        <v>128.27950716018677</v>
      </c>
      <c r="G126" s="119">
        <f ca="1">[1]!Olekuvorrand($C126,$T127,$Y127,$X127,$W127,G$4,[1]!juhe($T127,6),TRUE)</f>
        <v>126.04206800460815</v>
      </c>
      <c r="H126" s="119">
        <f ca="1">[1]!Olekuvorrand($C126,$T127,$Y127,$X127,$W127,H$4,[1]!juhe($T127,6),TRUE)</f>
        <v>123.89522790908813</v>
      </c>
      <c r="I126" s="119">
        <f ca="1">[1]!Olekuvorrand($C126,$T127,$Y127,$X127,$W127,I$4,[1]!juhe($T127,6),TRUE)</f>
        <v>121.83421850204468</v>
      </c>
      <c r="J126" s="119">
        <f ca="1">[1]!Olekuvorrand($C126,$T127,$Y127,$X127,$W127,J$4,[1]!juhe($T127,6),TRUE)</f>
        <v>119.8546290397644</v>
      </c>
      <c r="K126" s="119">
        <f ca="1">[1]!Olekuvorrand($C126,$T127,$Y127,$X127,$W127,K$4,[1]!juhe($T127,6),TRUE)</f>
        <v>117.95192956924438</v>
      </c>
      <c r="L126" s="119">
        <f ca="1">[1]!Olekuvorrand($C126,$T127,$Y127,$X127,$W127,L$4,[1]!juhe($T127,6),TRUE)</f>
        <v>116.12230539321899</v>
      </c>
      <c r="M126" s="119">
        <f ca="1">[1]!Olekuvorrand($C126,$T127,$Y127,$X127,$W127,M$4,[1]!juhe($T127,6),TRUE)</f>
        <v>114.36170339584351</v>
      </c>
      <c r="N126" s="119">
        <f ca="1">[1]!Olekuvorrand($C126,$T127,$Y127,$X127,$W127,N$4,[1]!juhe($T127,6),TRUE)</f>
        <v>112.66666650772095</v>
      </c>
      <c r="O126" s="207">
        <f ca="1">U127</f>
        <v>119.8546290397644</v>
      </c>
      <c r="Q126" s="141" t="s">
        <v>207</v>
      </c>
      <c r="R126"/>
      <c r="S126"/>
      <c r="T126"/>
      <c r="U126"/>
      <c r="V126"/>
      <c r="W126"/>
      <c r="X126"/>
      <c r="Y126"/>
      <c r="Z126"/>
    </row>
    <row r="127" spans="1:26" s="114" customFormat="1" x14ac:dyDescent="0.2">
      <c r="A127" s="187"/>
      <c r="B127" s="188"/>
      <c r="C127" s="189"/>
      <c r="D127" s="118" t="s">
        <v>32</v>
      </c>
      <c r="E127" s="119">
        <f ca="1">E126*[1]!juhe($T127,2)/10</f>
        <v>876.41182482242584</v>
      </c>
      <c r="F127" s="119">
        <f ca="1">F126*[1]!juhe($T127,2)/10</f>
        <v>860.75549304485321</v>
      </c>
      <c r="G127" s="119">
        <f ca="1">G126*[1]!juhe($T127,2)/10</f>
        <v>845.74227631092072</v>
      </c>
      <c r="H127" s="119">
        <f ca="1">H126*[1]!juhe($T127,2)/10</f>
        <v>831.33697926998138</v>
      </c>
      <c r="I127" s="119">
        <f ca="1">I126*[1]!juhe($T127,2)/10</f>
        <v>817.50760614871967</v>
      </c>
      <c r="J127" s="119">
        <f ca="1">J126*[1]!juhe($T127,2)/10</f>
        <v>804.22456085681904</v>
      </c>
      <c r="K127" s="119">
        <f ca="1">K126*[1]!juhe($T127,2)/10</f>
        <v>791.45744740962971</v>
      </c>
      <c r="L127" s="119">
        <f ca="1">L126*[1]!juhe($T127,2)/10</f>
        <v>779.18066918849934</v>
      </c>
      <c r="M127" s="119">
        <f ca="1">M126*[1]!juhe($T127,2)/10</f>
        <v>767.36702978610981</v>
      </c>
      <c r="N127" s="119">
        <f ca="1">N126*[1]!juhe($T127,2)/10</f>
        <v>755.99333226680744</v>
      </c>
      <c r="O127" s="207"/>
      <c r="Q127" s="141" t="s">
        <v>214</v>
      </c>
      <c r="R127" s="129" t="str">
        <f t="shared" ref="R127:Y127" ca="1" si="47">INDIRECT("'"&amp;$S$1&amp;"'!"&amp;$Q127&amp;R$4)</f>
        <v>164Y - L507 165</v>
      </c>
      <c r="S127" s="129">
        <f t="shared" ca="1" si="47"/>
        <v>426.99285708293951</v>
      </c>
      <c r="T127" s="129" t="str">
        <f t="shared" ca="1" si="47"/>
        <v>9,9-S1A - 19</v>
      </c>
      <c r="U127" s="129">
        <f t="shared" ca="1" si="47"/>
        <v>119.8546290397644</v>
      </c>
      <c r="V127" s="129">
        <f t="shared" ca="1" si="47"/>
        <v>6</v>
      </c>
      <c r="W127" s="129">
        <f t="shared" ca="1" si="47"/>
        <v>0.27637331230182688</v>
      </c>
      <c r="X127" s="129">
        <f t="shared" ca="1" si="47"/>
        <v>-5</v>
      </c>
      <c r="Y127" s="129">
        <f t="shared" ca="1" si="47"/>
        <v>429.42684888839722</v>
      </c>
      <c r="Z127">
        <v>1</v>
      </c>
    </row>
    <row r="128" spans="1:26" s="114" customFormat="1" x14ac:dyDescent="0.2">
      <c r="A128" s="187"/>
      <c r="B128" s="188"/>
      <c r="C128" s="189"/>
      <c r="D128" s="118" t="s">
        <v>31</v>
      </c>
      <c r="E128" s="120">
        <f ca="1">[1]!ripe([1]!Olekuvorrand($C126,$T127,$Y127,$X127,$W127,E$4,[1]!juhe($T127,6),TRUE),[1]!juhe($T127,6),$C126,0)</f>
        <v>9.3351071383747168</v>
      </c>
      <c r="F128" s="120">
        <f ca="1">[1]!ripe([1]!Olekuvorrand($C126,$T127,$Y127,$X127,$W127,F$4,[1]!juhe($T127,6),TRUE),[1]!juhe($T127,6),$C126,0)</f>
        <v>9.5049039456196827</v>
      </c>
      <c r="G128" s="120">
        <f ca="1">[1]!ripe([1]!Olekuvorrand($C126,$T127,$Y127,$X127,$W127,G$4,[1]!juhe($T127,6),TRUE),[1]!juhe($T127,6),$C126,0)</f>
        <v>9.6736305033048957</v>
      </c>
      <c r="H128" s="120">
        <f ca="1">[1]!ripe([1]!Olekuvorrand($C126,$T127,$Y127,$X127,$W127,H$4,[1]!juhe($T127,6),TRUE),[1]!juhe($T127,6),$C126,0)</f>
        <v>9.8412538910997789</v>
      </c>
      <c r="I128" s="120">
        <f ca="1">[1]!ripe([1]!Olekuvorrand($C126,$T127,$Y127,$X127,$W127,I$4,[1]!juhe($T127,6),TRUE),[1]!juhe($T127,6),$C126,0)</f>
        <v>10.007733531188078</v>
      </c>
      <c r="J128" s="120">
        <f ca="1">[1]!ripe([1]!Olekuvorrand($C126,$T127,$Y127,$X127,$W127,J$4,[1]!juhe($T127,6),TRUE),[1]!juhe($T127,6),$C126,0)</f>
        <v>10.173027137270461</v>
      </c>
      <c r="K128" s="120">
        <f ca="1">[1]!ripe([1]!Olekuvorrand($C126,$T127,$Y127,$X127,$W127,K$4,[1]!juhe($T127,6),TRUE),[1]!juhe($T127,6),$C126,0)</f>
        <v>10.337129695137538</v>
      </c>
      <c r="L128" s="120">
        <f ca="1">[1]!ripe([1]!Olekuvorrand($C126,$T127,$Y127,$X127,$W127,L$4,[1]!juhe($T127,6),TRUE),[1]!juhe($T127,6),$C126,0)</f>
        <v>10.500001611406244</v>
      </c>
      <c r="M128" s="120">
        <f ca="1">[1]!ripe([1]!Olekuvorrand($C126,$T127,$Y127,$X127,$W127,M$4,[1]!juhe($T127,6),TRUE),[1]!juhe($T127,6),$C126,0)</f>
        <v>10.661649464319911</v>
      </c>
      <c r="N128" s="120">
        <f ca="1">[1]!ripe([1]!Olekuvorrand($C126,$T127,$Y127,$X127,$W127,N$4,[1]!juhe($T127,6),TRUE),[1]!juhe($T127,6),$C126,0)</f>
        <v>10.822050847359108</v>
      </c>
      <c r="O128" s="207"/>
      <c r="Q128" s="141" t="s">
        <v>214</v>
      </c>
      <c r="R128"/>
      <c r="S128"/>
      <c r="T128"/>
      <c r="U128"/>
      <c r="V128"/>
      <c r="W128"/>
      <c r="X128"/>
      <c r="Y128"/>
      <c r="Z128"/>
    </row>
    <row r="129" spans="1:26" s="114" customFormat="1" x14ac:dyDescent="0.2">
      <c r="A129" s="187"/>
      <c r="B129" s="188"/>
      <c r="C129" s="189"/>
      <c r="D129" s="118" t="s">
        <v>195</v>
      </c>
      <c r="E129" s="120">
        <f ca="1">[1]!ripe([1]!Olekuvorrand($C126,$T127,$Y127,$X127,$W127,E$4,[1]!juhe($T127,6)),[1]!juhe($T127,6),$C126,0)</f>
        <v>9.3351071383747168</v>
      </c>
      <c r="F129" s="120">
        <f ca="1">[1]!ripe([1]!Olekuvorrand($C126,$T127,$Y127,$X127,$W127,F$4,[1]!juhe($T127,6)),[1]!juhe($T127,6),$C126,0)</f>
        <v>9.5049039456196827</v>
      </c>
      <c r="G129" s="120">
        <f ca="1">[1]!ripe([1]!Olekuvorrand($C126,$T127,$Y127,$X127,$W127,G$4,[1]!juhe($T127,6)),[1]!juhe($T127,6),$C126,0)</f>
        <v>9.6736305033048957</v>
      </c>
      <c r="H129" s="120">
        <f ca="1">[1]!ripe([1]!Olekuvorrand($C126,$T127,$Y127,$X127,$W127,H$4,[1]!juhe($T127,6)),[1]!juhe($T127,6),$C126,0)</f>
        <v>9.8412538910997789</v>
      </c>
      <c r="I129" s="120">
        <f ca="1">[1]!ripe([1]!Olekuvorrand($C126,$T127,$Y127,$X127,$W127,I$4,[1]!juhe($T127,6)),[1]!juhe($T127,6),$C126,0)</f>
        <v>10.007733531188078</v>
      </c>
      <c r="J129" s="120">
        <f ca="1">[1]!ripe([1]!Olekuvorrand($C126,$T127,$Y127,$X127,$W127,J$4,[1]!juhe($T127,6)),[1]!juhe($T127,6),$C126,0)</f>
        <v>10.173027137270461</v>
      </c>
      <c r="K129" s="120">
        <f ca="1">[1]!ripe([1]!Olekuvorrand($C126,$T127,$Y127,$X127,$W127,K$4,[1]!juhe($T127,6)),[1]!juhe($T127,6),$C126,0)</f>
        <v>10.337129695137538</v>
      </c>
      <c r="L129" s="120">
        <f ca="1">[1]!ripe([1]!Olekuvorrand($C126,$T127,$Y127,$X127,$W127,L$4,[1]!juhe($T127,6)),[1]!juhe($T127,6),$C126,0)</f>
        <v>10.500001611406244</v>
      </c>
      <c r="M129" s="120">
        <f ca="1">[1]!ripe([1]!Olekuvorrand($C126,$T127,$Y127,$X127,$W127,M$4,[1]!juhe($T127,6)),[1]!juhe($T127,6),$C126,0)</f>
        <v>10.661649464319911</v>
      </c>
      <c r="N129" s="120">
        <f ca="1">[1]!ripe([1]!Olekuvorrand($C126,$T127,$Y127,$X127,$W127,N$4,[1]!juhe($T127,6)),[1]!juhe($T127,6),$C126,0)</f>
        <v>10.822050847359108</v>
      </c>
      <c r="O129" s="207"/>
      <c r="Q129" s="141" t="s">
        <v>214</v>
      </c>
      <c r="R129"/>
      <c r="S129"/>
      <c r="T129"/>
      <c r="U129"/>
      <c r="V129"/>
      <c r="W129"/>
      <c r="X129"/>
      <c r="Y129"/>
      <c r="Z129"/>
    </row>
    <row r="130" spans="1:26" ht="22.5" x14ac:dyDescent="0.2">
      <c r="A130" s="105"/>
      <c r="B130" s="113" t="str">
        <f ca="1">INDIRECT("Visangud!C" &amp; R130)</f>
        <v>164Y-L507 165</v>
      </c>
      <c r="C130" s="106">
        <f ca="1">INDIRECT("Visangud!"&amp;Q130&amp;R130)</f>
        <v>426.99285708293951</v>
      </c>
      <c r="D130" s="10" t="s">
        <v>31</v>
      </c>
      <c r="E130" s="12">
        <f ca="1">[1]!ripe(E$126,[1]!juhe($T$8,6),$C130,0)</f>
        <v>9.3351071383747168</v>
      </c>
      <c r="F130" s="12">
        <f ca="1">[1]!ripe(F$126,[1]!juhe($T$8,6),$C130,0)</f>
        <v>9.5049039456196827</v>
      </c>
      <c r="G130" s="12">
        <f ca="1">[1]!ripe(G$126,[1]!juhe($T$8,6),$C130,0)</f>
        <v>9.6736305033048957</v>
      </c>
      <c r="H130" s="12">
        <f ca="1">[1]!ripe(H$126,[1]!juhe($T$8,6),$C130,0)</f>
        <v>9.8412538910997789</v>
      </c>
      <c r="I130" s="12">
        <f ca="1">[1]!ripe(I$126,[1]!juhe($T$8,6),$C130,0)</f>
        <v>10.007733531188078</v>
      </c>
      <c r="J130" s="12">
        <f ca="1">[1]!ripe(J$126,[1]!juhe($T$8,6),$C130,0)</f>
        <v>10.173027137270461</v>
      </c>
      <c r="K130" s="12">
        <f ca="1">[1]!ripe(K$126,[1]!juhe($T$8,6),$C130,0)</f>
        <v>10.337129695137538</v>
      </c>
      <c r="L130" s="12">
        <f ca="1">[1]!ripe(L$126,[1]!juhe($T$8,6),$C130,0)</f>
        <v>10.500001611406244</v>
      </c>
      <c r="M130" s="12">
        <f ca="1">[1]!ripe(M$126,[1]!juhe($T$8,6),$C130,0)</f>
        <v>10.661649464319911</v>
      </c>
      <c r="N130" s="12">
        <f ca="1">[1]!ripe(N$126,[1]!juhe($T$8,6),$C130,0)</f>
        <v>10.822050847359108</v>
      </c>
      <c r="O130" s="124"/>
      <c r="Q130" s="141" t="s">
        <v>214</v>
      </c>
      <c r="R130">
        <v>76</v>
      </c>
      <c r="S130"/>
      <c r="T130"/>
      <c r="U130"/>
      <c r="V130"/>
      <c r="W130"/>
      <c r="X130"/>
      <c r="Y130"/>
      <c r="Z130"/>
    </row>
  </sheetData>
  <mergeCells count="74">
    <mergeCell ref="W11:W13"/>
    <mergeCell ref="S11:S13"/>
    <mergeCell ref="T11:T13"/>
    <mergeCell ref="U11:U13"/>
    <mergeCell ref="V11:V13"/>
    <mergeCell ref="A113:A116"/>
    <mergeCell ref="B113:B116"/>
    <mergeCell ref="C113:C116"/>
    <mergeCell ref="O113:O116"/>
    <mergeCell ref="A126:A129"/>
    <mergeCell ref="B126:B129"/>
    <mergeCell ref="C126:C129"/>
    <mergeCell ref="O126:O129"/>
    <mergeCell ref="A100:A103"/>
    <mergeCell ref="B100:B103"/>
    <mergeCell ref="C100:C103"/>
    <mergeCell ref="O100:O103"/>
    <mergeCell ref="A107:A110"/>
    <mergeCell ref="B107:B110"/>
    <mergeCell ref="C107:C110"/>
    <mergeCell ref="O107:O110"/>
    <mergeCell ref="A85:A88"/>
    <mergeCell ref="B85:B88"/>
    <mergeCell ref="C85:C88"/>
    <mergeCell ref="O85:O88"/>
    <mergeCell ref="A93:A96"/>
    <mergeCell ref="B93:B96"/>
    <mergeCell ref="C93:C96"/>
    <mergeCell ref="O93:O96"/>
    <mergeCell ref="A66:A69"/>
    <mergeCell ref="B66:B69"/>
    <mergeCell ref="C66:C69"/>
    <mergeCell ref="O66:O69"/>
    <mergeCell ref="A74:A77"/>
    <mergeCell ref="B74:B77"/>
    <mergeCell ref="C74:C77"/>
    <mergeCell ref="O74:O77"/>
    <mergeCell ref="A51:A54"/>
    <mergeCell ref="B51:B54"/>
    <mergeCell ref="C51:C54"/>
    <mergeCell ref="O51:O54"/>
    <mergeCell ref="A57:A60"/>
    <mergeCell ref="B57:B60"/>
    <mergeCell ref="C57:C60"/>
    <mergeCell ref="O57:O60"/>
    <mergeCell ref="A34:A38"/>
    <mergeCell ref="B34:B38"/>
    <mergeCell ref="C34:C38"/>
    <mergeCell ref="O34:O38"/>
    <mergeCell ref="A42:A45"/>
    <mergeCell ref="B42:B45"/>
    <mergeCell ref="C42:C45"/>
    <mergeCell ref="O42:O45"/>
    <mergeCell ref="A17:A20"/>
    <mergeCell ref="B17:B20"/>
    <mergeCell ref="C17:C20"/>
    <mergeCell ref="O17:O20"/>
    <mergeCell ref="A29:A32"/>
    <mergeCell ref="B29:B32"/>
    <mergeCell ref="C29:C32"/>
    <mergeCell ref="O29:O32"/>
    <mergeCell ref="A7:A10"/>
    <mergeCell ref="B7:B10"/>
    <mergeCell ref="C7:C10"/>
    <mergeCell ref="O7:O10"/>
    <mergeCell ref="V2:Y2"/>
    <mergeCell ref="D3:N3"/>
    <mergeCell ref="A5:O5"/>
    <mergeCell ref="A1:C1"/>
    <mergeCell ref="D1:L1"/>
    <mergeCell ref="M1:O1"/>
    <mergeCell ref="A2:C2"/>
    <mergeCell ref="D2:L2"/>
    <mergeCell ref="M2:O2"/>
  </mergeCells>
  <pageMargins left="0.74803149606299213" right="0.28000000000000003" top="0.23622047244094491" bottom="0.39370078740157483" header="0.74803149606299213" footer="0.15748031496062992"/>
  <pageSetup paperSize="9" scale="94" fitToHeight="0" orientation="portrait" r:id="rId1"/>
  <headerFooter alignWithMargins="0">
    <oddHeader>&amp;RLehekülg &amp;P/&amp;N</oddHeader>
    <oddFooter>&amp;R&amp;D</oddFooter>
  </headerFooter>
  <rowBreaks count="1" manualBreakCount="1">
    <brk id="6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Lähteandmed</vt:lpstr>
      <vt:lpstr>Visangud</vt:lpstr>
      <vt:lpstr>Juhtme rež 110</vt:lpstr>
      <vt:lpstr>Juhtme rež 330</vt:lpstr>
      <vt:lpstr>Trossi rež</vt:lpstr>
      <vt:lpstr>Trossi rež (2)</vt:lpstr>
      <vt:lpstr>Juhtme mont 110</vt:lpstr>
      <vt:lpstr>Juhtme mont 330</vt:lpstr>
      <vt:lpstr>Trossi mont</vt:lpstr>
      <vt:lpstr>Trossi mont (2)</vt:lpstr>
      <vt:lpstr>hj</vt:lpstr>
      <vt:lpstr>hJ_1</vt:lpstr>
      <vt:lpstr>ht</vt:lpstr>
      <vt:lpstr>ht_2</vt:lpstr>
      <vt:lpstr>JaideJ</vt:lpstr>
      <vt:lpstr>JaideJ_1</vt:lpstr>
      <vt:lpstr>JaideT</vt:lpstr>
      <vt:lpstr>JaideT2</vt:lpstr>
      <vt:lpstr>jaitetegur</vt:lpstr>
      <vt:lpstr>'Juhtme rež 110'!JuheM</vt:lpstr>
      <vt:lpstr>JuheM</vt:lpstr>
      <vt:lpstr>Juhtmed</vt:lpstr>
      <vt:lpstr>kaalutegur</vt:lpstr>
      <vt:lpstr>Köide</vt:lpstr>
      <vt:lpstr>'Juhtme mont 110'!Print_Area</vt:lpstr>
      <vt:lpstr>'Juhtme mont 330'!Print_Area</vt:lpstr>
      <vt:lpstr>'Juhtme rež 110'!Print_Area</vt:lpstr>
      <vt:lpstr>'Juhtme rež 330'!Print_Area</vt:lpstr>
      <vt:lpstr>'Trossi mont'!Print_Area</vt:lpstr>
      <vt:lpstr>'Trossi mont (2)'!Print_Area</vt:lpstr>
      <vt:lpstr>'Trossi rež'!Print_Area</vt:lpstr>
      <vt:lpstr>'Juhtme mont 110'!Print_Titles</vt:lpstr>
      <vt:lpstr>'Juhtme mont 330'!Print_Titles</vt:lpstr>
      <vt:lpstr>'Juhtme rež 110'!Print_Titles</vt:lpstr>
      <vt:lpstr>'Juhtme rež 330'!Print_Titles</vt:lpstr>
      <vt:lpstr>'Trossi mont'!Print_Titles</vt:lpstr>
      <vt:lpstr>'Trossi mont (2)'!Print_Titles</vt:lpstr>
      <vt:lpstr>'Trossi rež'!Print_Titles</vt:lpstr>
      <vt:lpstr>Qj</vt:lpstr>
      <vt:lpstr>QJ_1</vt:lpstr>
      <vt:lpstr>Qt</vt:lpstr>
      <vt:lpstr>Qt_2</vt:lpstr>
      <vt:lpstr>R_1</vt:lpstr>
      <vt:lpstr>R_10</vt:lpstr>
      <vt:lpstr>R_11</vt:lpstr>
      <vt:lpstr>R_12</vt:lpstr>
      <vt:lpstr>R_13</vt:lpstr>
      <vt:lpstr>R_14</vt:lpstr>
      <vt:lpstr>R_15</vt:lpstr>
      <vt:lpstr>R_16</vt:lpstr>
      <vt:lpstr>R_17</vt:lpstr>
      <vt:lpstr>R_18</vt:lpstr>
      <vt:lpstr>R_19</vt:lpstr>
      <vt:lpstr>R_2</vt:lpstr>
      <vt:lpstr>R_20</vt:lpstr>
      <vt:lpstr>R_3</vt:lpstr>
      <vt:lpstr>R_4</vt:lpstr>
      <vt:lpstr>R_5</vt:lpstr>
      <vt:lpstr>R_6</vt:lpstr>
      <vt:lpstr>R_7</vt:lpstr>
      <vt:lpstr>R_8</vt:lpstr>
      <vt:lpstr>R_9</vt:lpstr>
      <vt:lpstr>'Juhtme rež 110'!S0</vt:lpstr>
      <vt:lpstr>'Juhtme rež 330'!S0</vt:lpstr>
      <vt:lpstr>'Trossi rež'!S0</vt:lpstr>
      <vt:lpstr>'Trossi rež (2)'!S0</vt:lpstr>
      <vt:lpstr>zo</vt:lpstr>
      <vt:lpstr>ZoT2</vt:lpstr>
      <vt:lpstr>'Juhtme rež 110'!T0</vt:lpstr>
      <vt:lpstr>'Trossi rež'!T0</vt:lpstr>
      <vt:lpstr>'Trossi rež (2)'!T0</vt:lpstr>
      <vt:lpstr>T0</vt:lpstr>
      <vt:lpstr>tuuletegur</vt:lpstr>
      <vt:lpstr>V_1</vt:lpstr>
      <vt:lpstr>V_2</vt:lpstr>
      <vt:lpstr>V_3</vt:lpstr>
      <vt:lpstr>v_4</vt:lpstr>
    </vt:vector>
  </TitlesOfParts>
  <Company>Eesti Energia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Juhan Karin</dc:creator>
  <cp:lastModifiedBy>Juhan Karin</cp:lastModifiedBy>
  <cp:lastPrinted>2012-12-08T14:54:39Z</cp:lastPrinted>
  <dcterms:created xsi:type="dcterms:W3CDTF">2004-05-16T12:38:22Z</dcterms:created>
  <dcterms:modified xsi:type="dcterms:W3CDTF">2012-12-08T14:55:59Z</dcterms:modified>
</cp:coreProperties>
</file>